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排涝总  总表" sheetId="1" r:id="rId1"/>
    <sheet name="排涝二部分二类费" sheetId="4" state="hidden" r:id="rId2"/>
    <sheet name="Sheet2" sheetId="2" state="hidden" r:id="rId3"/>
  </sheets>
  <definedNames>
    <definedName name="_xlnm.Print_Area" localSheetId="0">'排涝总  总表'!$A$1:$M$66</definedName>
    <definedName name="_xlnm.Print_Titles" localSheetId="0">'排涝总  总表'!$1:$4</definedName>
  </definedNames>
  <calcPr calcId="144525" fullCalcOnLoad="1"/>
</workbook>
</file>

<file path=xl/sharedStrings.xml><?xml version="1.0" encoding="utf-8"?>
<sst xmlns="http://schemas.openxmlformats.org/spreadsheetml/2006/main" count="798" uniqueCount="434">
  <si>
    <t xml:space="preserve">三亚市城区排水防涝能力提升工程（一期）概算评审对比表                                                                                  </t>
  </si>
  <si>
    <t>序号</t>
  </si>
  <si>
    <t>项目名称</t>
  </si>
  <si>
    <t>建筑安装工程费</t>
  </si>
  <si>
    <t>设备购置费</t>
  </si>
  <si>
    <t>送审修改后概算</t>
  </si>
  <si>
    <t>合  计</t>
  </si>
  <si>
    <t>评审后概算</t>
  </si>
  <si>
    <t>评审差异（核增+、核减-)</t>
  </si>
  <si>
    <t>备注</t>
  </si>
  <si>
    <t>第一部分已批复</t>
  </si>
  <si>
    <t>第二、第三部分</t>
  </si>
  <si>
    <t>合计</t>
  </si>
  <si>
    <t>（万元）</t>
  </si>
  <si>
    <t>一</t>
  </si>
  <si>
    <t>工程费用</t>
  </si>
  <si>
    <t>第一部分-绿城高福小镇</t>
  </si>
  <si>
    <t>已批复</t>
  </si>
  <si>
    <t>第二部分-海坡、动车站及林旺片区</t>
  </si>
  <si>
    <t>第三部分-天涯区、崖州保港片区</t>
  </si>
  <si>
    <t>二</t>
  </si>
  <si>
    <t>工程建设其他费用</t>
  </si>
  <si>
    <t>建设用地费</t>
  </si>
  <si>
    <t>征地费</t>
  </si>
  <si>
    <t>管线迁改费</t>
  </si>
  <si>
    <t>变压器迁移费</t>
  </si>
  <si>
    <t>乔木迁移</t>
  </si>
  <si>
    <t>226颗，1000元/棵</t>
  </si>
  <si>
    <t>建设单位管理费</t>
  </si>
  <si>
    <t>财建[2016]504 号</t>
  </si>
  <si>
    <t>工程监理费</t>
  </si>
  <si>
    <t>发改价格[2007]670 号,八折计取</t>
  </si>
  <si>
    <t>工程可行性研究报告编制费</t>
  </si>
  <si>
    <t>合同价</t>
  </si>
  <si>
    <t>环境影响服务费</t>
  </si>
  <si>
    <t>5.1</t>
  </si>
  <si>
    <t>编制环境影响报告费</t>
  </si>
  <si>
    <t>计价格[2002]125 号，下浮20%</t>
  </si>
  <si>
    <t>5.2</t>
  </si>
  <si>
    <t>评估环境影响报告费</t>
  </si>
  <si>
    <t>取消计取</t>
  </si>
  <si>
    <t>工程勘察费</t>
  </si>
  <si>
    <t>工程测量费</t>
  </si>
  <si>
    <t>管线物探费</t>
  </si>
  <si>
    <t>工程设计费</t>
  </si>
  <si>
    <t>计价格【2002】10号文，下浮20%</t>
  </si>
  <si>
    <t>初步设计</t>
  </si>
  <si>
    <t>施工图设计</t>
  </si>
  <si>
    <t>施工图审查费</t>
  </si>
  <si>
    <t>工程造价咨询费</t>
  </si>
  <si>
    <t>11.1</t>
  </si>
  <si>
    <t>工程量清单和清单计价编制费</t>
  </si>
  <si>
    <t>11.2</t>
  </si>
  <si>
    <t>竣工结算审核费</t>
  </si>
  <si>
    <t>琼价协[2020]001号，下浮20%</t>
  </si>
  <si>
    <t>11.3</t>
  </si>
  <si>
    <t>施工全过程造价咨询费</t>
  </si>
  <si>
    <t>12</t>
  </si>
  <si>
    <t>工程招标代理费</t>
  </si>
  <si>
    <t>琼价费管[2011]225 号，下浮20%</t>
  </si>
  <si>
    <t>12.1</t>
  </si>
  <si>
    <t>工程招标代理服务费</t>
  </si>
  <si>
    <t>12.2</t>
  </si>
  <si>
    <t>监理服务招标代理服务费</t>
  </si>
  <si>
    <t>12.3</t>
  </si>
  <si>
    <t>设计服务招标代理服务费</t>
  </si>
  <si>
    <t>12.4</t>
  </si>
  <si>
    <t>勘察测量服务招标代理服务费</t>
  </si>
  <si>
    <t>水土保持费</t>
  </si>
  <si>
    <t>水保监[2005]22 号，下浮50%</t>
  </si>
  <si>
    <t>13.1</t>
  </si>
  <si>
    <t>水土保持方案编制费</t>
  </si>
  <si>
    <t>13.2</t>
  </si>
  <si>
    <t>水土保持施工监测费</t>
  </si>
  <si>
    <t>13.3</t>
  </si>
  <si>
    <t>水土保持设施竣工验收技术评估报告编制费</t>
  </si>
  <si>
    <t>13.4</t>
  </si>
  <si>
    <t>水土保持技术文件技术咨询服务费</t>
  </si>
  <si>
    <t>13.5</t>
  </si>
  <si>
    <t>水土保持补偿费</t>
  </si>
  <si>
    <t>暂估，以实际发生为准</t>
  </si>
  <si>
    <t>场地准备及临时设施费</t>
  </si>
  <si>
    <t>按建安费*0.5%</t>
  </si>
  <si>
    <t>工程保险费</t>
  </si>
  <si>
    <t>按建安费*0.35%</t>
  </si>
  <si>
    <t>社会稳定风险评估报告编制费</t>
  </si>
  <si>
    <t>工程质量检测费</t>
  </si>
  <si>
    <t>按工程费用的 0.7%</t>
  </si>
  <si>
    <t>基坑监测费</t>
  </si>
  <si>
    <t>基坑方案评审费</t>
  </si>
  <si>
    <t>基坑方案编制费</t>
  </si>
  <si>
    <t>暂估，以实际发生为准（一体化泵站概算投资的5%）</t>
  </si>
  <si>
    <r>
      <t>一体化泵站概算投资的</t>
    </r>
    <r>
      <rPr>
        <b/>
        <sz val="11"/>
        <rFont val="Arial"/>
        <family val="2"/>
        <charset val="0"/>
      </rPr>
      <t>5%</t>
    </r>
  </si>
  <si>
    <t>安全评价费</t>
  </si>
  <si>
    <t>道路交通疏导费（人工疏导）</t>
  </si>
  <si>
    <t>CCTV管道检测</t>
  </si>
  <si>
    <t>防洪影响评价报告编制费</t>
  </si>
  <si>
    <t>生物多样性影响评价</t>
  </si>
  <si>
    <t>合同价（签订版）</t>
  </si>
  <si>
    <t>林地可行性报告编制费</t>
  </si>
  <si>
    <t>管线保护费</t>
  </si>
  <si>
    <t>竣工财务决算编制费</t>
  </si>
  <si>
    <t>琼价费管[2011]176号、六折计取</t>
  </si>
  <si>
    <t>竣工财务决算审查费</t>
  </si>
  <si>
    <t>琼价费管[2011]176号、八折计取</t>
  </si>
  <si>
    <t>外电接入</t>
  </si>
  <si>
    <t>勘测定界费</t>
  </si>
  <si>
    <t xml:space="preserve">道路安全评估费 </t>
  </si>
  <si>
    <t>三</t>
  </si>
  <si>
    <t>预备费</t>
  </si>
  <si>
    <t>基本预备费</t>
  </si>
  <si>
    <t>（一+二-建设用地费)*5%</t>
  </si>
  <si>
    <t>四</t>
  </si>
  <si>
    <t>工程静态总投资</t>
  </si>
  <si>
    <t>五</t>
  </si>
  <si>
    <t>建设期融资利息</t>
  </si>
  <si>
    <t>贷款利率暂按3.18%，建设期1.5年</t>
  </si>
  <si>
    <t>六</t>
  </si>
  <si>
    <t>工程总投资</t>
  </si>
  <si>
    <t xml:space="preserve">二部分  概算总表                                                                                  </t>
  </si>
  <si>
    <t>其  他
费  用</t>
  </si>
  <si>
    <t>经济技术指标</t>
  </si>
  <si>
    <t>单位</t>
  </si>
  <si>
    <t>数  量</t>
  </si>
  <si>
    <t>单位价值</t>
  </si>
  <si>
    <t>（元）</t>
  </si>
  <si>
    <t>绿城高福小镇</t>
  </si>
  <si>
    <t>其余排水防涝</t>
  </si>
  <si>
    <t>发改价格[2007]670 号</t>
  </si>
  <si>
    <t>计价格【1999】1283号</t>
  </si>
  <si>
    <t>计价格[2002]125 号</t>
  </si>
  <si>
    <t>按工程费用的 0.3%</t>
  </si>
  <si>
    <t>计价格【2002】10号文</t>
  </si>
  <si>
    <t>琼价费管[2011]224 号</t>
  </si>
  <si>
    <t>琼价协[2020]001号</t>
  </si>
  <si>
    <t>琼价费管[2011]225 号</t>
  </si>
  <si>
    <t>勘察服务招标代理服务费</t>
  </si>
  <si>
    <t>水保监[2005]22 号</t>
  </si>
  <si>
    <t>按建安费*0.6%</t>
  </si>
  <si>
    <t>按建安费*0.4%</t>
  </si>
  <si>
    <t>社会稳定风险评估报告编制费及评估费</t>
  </si>
  <si>
    <t>琼风评研中心函【2019】1号</t>
  </si>
  <si>
    <t>道路交通疏导费</t>
  </si>
  <si>
    <t>（一+二)*5%</t>
  </si>
  <si>
    <t>概算汇总表（含工程建设其他费细项）</t>
  </si>
  <si>
    <t>建设项目：琼海市主城区排水管网</t>
  </si>
  <si>
    <t>第 1 页 共 8 页</t>
  </si>
  <si>
    <t>工程项目或
费用名称</t>
  </si>
  <si>
    <t>概算造价（万元）</t>
  </si>
  <si>
    <t>技术经济指标</t>
  </si>
  <si>
    <t>占总投资
比例（%）</t>
  </si>
  <si>
    <t>建筑
工程费</t>
  </si>
  <si>
    <t>安装
工程费</t>
  </si>
  <si>
    <t>设备
购置费</t>
  </si>
  <si>
    <t>其他
费用</t>
  </si>
  <si>
    <t>数量</t>
  </si>
  <si>
    <t>单方造价</t>
  </si>
  <si>
    <t>1</t>
  </si>
  <si>
    <t>1.1</t>
  </si>
  <si>
    <t>1#沿河泵站片区</t>
  </si>
  <si>
    <t>1.1.1</t>
  </si>
  <si>
    <t>沿河泵站片区--小区改造部分</t>
  </si>
  <si>
    <t>1.1.2</t>
  </si>
  <si>
    <t>沿河泵站片区--新建雨污水部分</t>
  </si>
  <si>
    <t>1.1.3</t>
  </si>
  <si>
    <t>沿河泵站片区--雨污分流改造部分</t>
  </si>
  <si>
    <t>1.1.4</t>
  </si>
  <si>
    <t>沿河泵站片区--管道修复部分</t>
  </si>
  <si>
    <t>1.2</t>
  </si>
  <si>
    <t>2#龙头泵站片区</t>
  </si>
  <si>
    <t>1.2.1</t>
  </si>
  <si>
    <t>龙头泵站片区-新建雨污水部分</t>
  </si>
  <si>
    <t>1.2.2</t>
  </si>
  <si>
    <t>龙头泵站片区-雨污分流改造部分</t>
  </si>
  <si>
    <t>1.2.3</t>
  </si>
  <si>
    <t>龙头泵站片区--小区改造部分</t>
  </si>
  <si>
    <t>1.2.4</t>
  </si>
  <si>
    <t>龙头泵站片区-管道修复部分</t>
  </si>
  <si>
    <t>1.3</t>
  </si>
  <si>
    <t>4#南掘泵站片区</t>
  </si>
  <si>
    <t>1.3.1</t>
  </si>
  <si>
    <t>南掘泵站片区-新建雨污水部分</t>
  </si>
  <si>
    <t>1.3.2</t>
  </si>
  <si>
    <t>南掘泵站片区-雨污分流改造部分</t>
  </si>
  <si>
    <t>1.3.3</t>
  </si>
  <si>
    <t>南掘泵站片区--小区改造部分</t>
  </si>
  <si>
    <t>1.3.4</t>
  </si>
  <si>
    <t>南掘泵站片区-管道修复部分</t>
  </si>
  <si>
    <t>1.4</t>
  </si>
  <si>
    <t>5#规划泵站片区</t>
  </si>
  <si>
    <t>1.4.1</t>
  </si>
  <si>
    <t>规划泵站片区-新建雨污水部分</t>
  </si>
  <si>
    <t>第 2 页 共 8 页</t>
  </si>
  <si>
    <t>1.4.2</t>
  </si>
  <si>
    <t>规划泵站片区-雨污分流改造部分</t>
  </si>
  <si>
    <t>1.4.3</t>
  </si>
  <si>
    <t>规划泵站片区-管道修复部分</t>
  </si>
  <si>
    <t>1.4.4</t>
  </si>
  <si>
    <t>规划泵站片区--小区改造部分</t>
  </si>
  <si>
    <t>1.5</t>
  </si>
  <si>
    <t>6#黄塘溪泵站片区</t>
  </si>
  <si>
    <t>1.5.1</t>
  </si>
  <si>
    <t>黄塘溪泵站片区-新建雨污水部分</t>
  </si>
  <si>
    <t>1.5.2</t>
  </si>
  <si>
    <t>黄塘溪泵站片区-雨污分流改造部分</t>
  </si>
  <si>
    <t>1.5.3</t>
  </si>
  <si>
    <t>黄塘溪泵站片区-管道修复部分</t>
  </si>
  <si>
    <t>1.5.4</t>
  </si>
  <si>
    <t>黄塘溪泵站片区--小区改造部分</t>
  </si>
  <si>
    <t>1.6</t>
  </si>
  <si>
    <t>智慧监测工程</t>
  </si>
  <si>
    <t>1.6.1</t>
  </si>
  <si>
    <t>1.7</t>
  </si>
  <si>
    <t>检测工程</t>
  </si>
  <si>
    <t>1.7.1</t>
  </si>
  <si>
    <t>管道检测工程</t>
  </si>
  <si>
    <t>1.8</t>
  </si>
  <si>
    <t>设备及工器具购置费</t>
  </si>
  <si>
    <t>2</t>
  </si>
  <si>
    <t>A</t>
  </si>
  <si>
    <t>万元</t>
  </si>
  <si>
    <t>A1</t>
  </si>
  <si>
    <t>土地使用权出让金</t>
  </si>
  <si>
    <t>A2</t>
  </si>
  <si>
    <t>土地补偿费</t>
  </si>
  <si>
    <t>A3</t>
  </si>
  <si>
    <t>安置补助费</t>
  </si>
  <si>
    <t>第 3 页 共 8 页</t>
  </si>
  <si>
    <t>A4</t>
  </si>
  <si>
    <t>地上附着物和青苗的补偿费</t>
  </si>
  <si>
    <t>A5</t>
  </si>
  <si>
    <t>耕地开垦费</t>
  </si>
  <si>
    <t>A6</t>
  </si>
  <si>
    <t>城镇土地使用税</t>
  </si>
  <si>
    <t>A7</t>
  </si>
  <si>
    <t>耕地占用税</t>
  </si>
  <si>
    <t>A8</t>
  </si>
  <si>
    <t>森林植被恢复费</t>
  </si>
  <si>
    <t>A9</t>
  </si>
  <si>
    <t>海域使用金</t>
  </si>
  <si>
    <t>A10</t>
  </si>
  <si>
    <t>土地租赁费</t>
  </si>
  <si>
    <t>B</t>
  </si>
  <si>
    <t>建设项目管理费</t>
  </si>
  <si>
    <t>B1</t>
  </si>
  <si>
    <t>B2</t>
  </si>
  <si>
    <t>代建管理费</t>
  </si>
  <si>
    <t>B3</t>
  </si>
  <si>
    <t>代管管理费</t>
  </si>
  <si>
    <t>B4</t>
  </si>
  <si>
    <t>全过程咨询管理费</t>
  </si>
  <si>
    <t>C</t>
  </si>
  <si>
    <t>建设项目前期咨询费</t>
  </si>
  <si>
    <t>C1</t>
  </si>
  <si>
    <t>编制项目建议书</t>
  </si>
  <si>
    <t>C2</t>
  </si>
  <si>
    <t>编制可行性研究报告</t>
  </si>
  <si>
    <t>C3</t>
  </si>
  <si>
    <t>评估项目建议书</t>
  </si>
  <si>
    <t>C4</t>
  </si>
  <si>
    <t>评估可行性研究报告</t>
  </si>
  <si>
    <t>C5</t>
  </si>
  <si>
    <t>初步设计评审咨询</t>
  </si>
  <si>
    <t>C6</t>
  </si>
  <si>
    <t>实施方案评估咨询</t>
  </si>
  <si>
    <t>D</t>
  </si>
  <si>
    <t>工程勘察设计费</t>
  </si>
  <si>
    <t>第 4 页 共 8 页</t>
  </si>
  <si>
    <t>D1</t>
  </si>
  <si>
    <t>D2</t>
  </si>
  <si>
    <t>D3</t>
  </si>
  <si>
    <t>基本设计费</t>
  </si>
  <si>
    <t>D4</t>
  </si>
  <si>
    <t>其他设计费</t>
  </si>
  <si>
    <t>D5</t>
  </si>
  <si>
    <t>岩土工程设计费</t>
  </si>
  <si>
    <t>D6</t>
  </si>
  <si>
    <t>总体设计费</t>
  </si>
  <si>
    <t>D7</t>
  </si>
  <si>
    <t>施工图预算编制费</t>
  </si>
  <si>
    <t>D8</t>
  </si>
  <si>
    <t>竣工图编制费</t>
  </si>
  <si>
    <t>E</t>
  </si>
  <si>
    <t>E1</t>
  </si>
  <si>
    <t>F</t>
  </si>
  <si>
    <t>F1</t>
  </si>
  <si>
    <t>工程概算编制</t>
  </si>
  <si>
    <t>F2</t>
  </si>
  <si>
    <t>工程概算审核</t>
  </si>
  <si>
    <t>F3</t>
  </si>
  <si>
    <t>施工图预算编制</t>
  </si>
  <si>
    <t>F4</t>
  </si>
  <si>
    <t>施工图预算审核</t>
  </si>
  <si>
    <t>F5</t>
  </si>
  <si>
    <t>工程量清单和清单计价编制</t>
  </si>
  <si>
    <t>F6</t>
  </si>
  <si>
    <t>工程量清单和清单计价审核</t>
  </si>
  <si>
    <t>F7</t>
  </si>
  <si>
    <t>竣工结算审核</t>
  </si>
  <si>
    <t>F8</t>
  </si>
  <si>
    <t>施工阶段全过程工程造价控制服务</t>
  </si>
  <si>
    <t>第 5 页 共 8 页</t>
  </si>
  <si>
    <t>G</t>
  </si>
  <si>
    <t>招标代理服务费</t>
  </si>
  <si>
    <t>G1</t>
  </si>
  <si>
    <t>H</t>
  </si>
  <si>
    <t>施工图设计文件审查费</t>
  </si>
  <si>
    <t>H1</t>
  </si>
  <si>
    <t>I</t>
  </si>
  <si>
    <t>环境影响咨询费</t>
  </si>
  <si>
    <t>I1</t>
  </si>
  <si>
    <t>编制环境影响报告书（含大纲）</t>
  </si>
  <si>
    <t>I2</t>
  </si>
  <si>
    <t>编制环境影响报告表</t>
  </si>
  <si>
    <t>I3</t>
  </si>
  <si>
    <t>评估编制环境影响报告书（含大纲）</t>
  </si>
  <si>
    <t>I4</t>
  </si>
  <si>
    <t>评估编制环境影响报告表</t>
  </si>
  <si>
    <t>J</t>
  </si>
  <si>
    <t>社会稳定风险评估费用</t>
  </si>
  <si>
    <t>J1</t>
  </si>
  <si>
    <t>J2</t>
  </si>
  <si>
    <t>社会稳定风险评估报告评审费</t>
  </si>
  <si>
    <t>K</t>
  </si>
  <si>
    <t>K1</t>
  </si>
  <si>
    <t>L</t>
  </si>
  <si>
    <t>水土保持咨询服务费</t>
  </si>
  <si>
    <t>L1</t>
  </si>
  <si>
    <t>L2</t>
  </si>
  <si>
    <t>水土保持监测费</t>
  </si>
  <si>
    <t>L3</t>
  </si>
  <si>
    <t>L4</t>
  </si>
  <si>
    <t>水土保持技术文件技术咨询服务</t>
  </si>
  <si>
    <t>第 6 页 共 8 页</t>
  </si>
  <si>
    <t>费</t>
  </si>
  <si>
    <t>M</t>
  </si>
  <si>
    <t>职业病危害评价费、安全评价费</t>
  </si>
  <si>
    <t>M1</t>
  </si>
  <si>
    <t>N</t>
  </si>
  <si>
    <t>建筑信息模（BIM）技术应用费用</t>
  </si>
  <si>
    <t>N1</t>
  </si>
  <si>
    <t>O</t>
  </si>
  <si>
    <t>O1</t>
  </si>
  <si>
    <t>P</t>
  </si>
  <si>
    <t>P1</t>
  </si>
  <si>
    <t>建设项目场地准备费</t>
  </si>
  <si>
    <t>P2</t>
  </si>
  <si>
    <t>建设单位临时设施费</t>
  </si>
  <si>
    <t>Q</t>
  </si>
  <si>
    <t>建设工程质量检测费</t>
  </si>
  <si>
    <t>Q1</t>
  </si>
  <si>
    <t>Q2</t>
  </si>
  <si>
    <t>桩基检测费</t>
  </si>
  <si>
    <t>Q3</t>
  </si>
  <si>
    <t>防雷检测费</t>
  </si>
  <si>
    <t>Q4</t>
  </si>
  <si>
    <t>消防检测费</t>
  </si>
  <si>
    <t>Q5</t>
  </si>
  <si>
    <t>其他专项检测费</t>
  </si>
  <si>
    <t>R</t>
  </si>
  <si>
    <t>防空地下室易地建设费</t>
  </si>
  <si>
    <t>R1</t>
  </si>
  <si>
    <t>S</t>
  </si>
  <si>
    <t>地质灾害危险性评价费</t>
  </si>
  <si>
    <t>第 7 页 共 8 页</t>
  </si>
  <si>
    <t>S1</t>
  </si>
  <si>
    <t>T</t>
  </si>
  <si>
    <t>白蚁防治费</t>
  </si>
  <si>
    <t>T1</t>
  </si>
  <si>
    <t>U</t>
  </si>
  <si>
    <t>研究试验费</t>
  </si>
  <si>
    <t>U1</t>
  </si>
  <si>
    <t>V</t>
  </si>
  <si>
    <t>高可靠性供电费用</t>
  </si>
  <si>
    <t>V1</t>
  </si>
  <si>
    <t>W</t>
  </si>
  <si>
    <t>城市基础设施配套费</t>
  </si>
  <si>
    <t>W1</t>
  </si>
  <si>
    <t>X</t>
  </si>
  <si>
    <t>特种设备检验检测费</t>
  </si>
  <si>
    <t>X1</t>
  </si>
  <si>
    <t>Y</t>
  </si>
  <si>
    <t>联合试运转费</t>
  </si>
  <si>
    <t>Y1</t>
  </si>
  <si>
    <t>Z</t>
  </si>
  <si>
    <t>生产准备及开办费</t>
  </si>
  <si>
    <t>Z1</t>
  </si>
  <si>
    <t>职工培训费</t>
  </si>
  <si>
    <t>Z2</t>
  </si>
  <si>
    <t>办公及生活家具购置费</t>
  </si>
  <si>
    <t>Z3</t>
  </si>
  <si>
    <t>工器具及生产家具购置费</t>
  </si>
  <si>
    <t>AA</t>
  </si>
  <si>
    <t>专利及专有技术使用费</t>
  </si>
  <si>
    <t>AA1</t>
  </si>
  <si>
    <t>国外设计及技术资料费</t>
  </si>
  <si>
    <t>AA2</t>
  </si>
  <si>
    <t>国内外专有技术使用费和技术保</t>
  </si>
  <si>
    <t>第 8 页 共 8 页</t>
  </si>
  <si>
    <t>密费</t>
  </si>
  <si>
    <t>AA3</t>
  </si>
  <si>
    <t>商标权、商誉和特许经营权费</t>
  </si>
  <si>
    <t>AB</t>
  </si>
  <si>
    <t>引进技术和引进设备其他费</t>
  </si>
  <si>
    <t>AB1</t>
  </si>
  <si>
    <t>引进项目图纸资料翻译复制费</t>
  </si>
  <si>
    <t>AB2</t>
  </si>
  <si>
    <t>出国人员费用</t>
  </si>
  <si>
    <t>AB3</t>
  </si>
  <si>
    <t>来华人员费用</t>
  </si>
  <si>
    <t>AB4</t>
  </si>
  <si>
    <t>银行担保及承诺费</t>
  </si>
  <si>
    <t>AB5</t>
  </si>
  <si>
    <t>设备材料购置费</t>
  </si>
  <si>
    <t>AB6</t>
  </si>
  <si>
    <t>单独引进软件</t>
  </si>
  <si>
    <t>AC</t>
  </si>
  <si>
    <t>PPP项目专项咨询费</t>
  </si>
  <si>
    <t>AC1</t>
  </si>
  <si>
    <t>PPP 项目专项咨询费</t>
  </si>
  <si>
    <t>AD</t>
  </si>
  <si>
    <t>绿色建筑有关费用</t>
  </si>
  <si>
    <t>AD1</t>
  </si>
  <si>
    <t>3</t>
  </si>
  <si>
    <t>工程预备费</t>
  </si>
  <si>
    <t>3.1</t>
  </si>
  <si>
    <t>3.2</t>
  </si>
  <si>
    <t>价差预备费</t>
  </si>
  <si>
    <t>4</t>
  </si>
  <si>
    <t>建设期贷款利息</t>
  </si>
  <si>
    <t>5</t>
  </si>
  <si>
    <t>铺底流动资金</t>
  </si>
  <si>
    <t>6</t>
  </si>
  <si>
    <t>建设项目概算总投资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</si>
</sst>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\ \ @"/>
    <numFmt numFmtId="178" formatCode="0.00_ "/>
    <numFmt numFmtId="179" formatCode="0.0_ "/>
    <numFmt numFmtId="180" formatCode="\ @"/>
  </numFmts>
  <fonts count="42">
    <font>
      <sz val="11"/>
      <color rgb="FF000000"/>
      <name val="Arial"/>
      <family val="2"/>
      <charset val="0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Arial"/>
      <family val="2"/>
      <charset val="0"/>
    </font>
    <font>
      <b/>
      <sz val="11"/>
      <color rgb="FF000000"/>
      <name val="Arial"/>
      <family val="2"/>
      <charset val="0"/>
    </font>
    <font>
      <b/>
      <sz val="11"/>
      <name val="Arial"/>
      <family val="2"/>
      <charset val="0"/>
    </font>
    <font>
      <sz val="11"/>
      <name val="Arial"/>
      <family val="2"/>
      <charset val="0"/>
    </font>
    <font>
      <b/>
      <sz val="16"/>
      <name val="宋体"/>
      <charset val="134"/>
    </font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SimSun"/>
      <charset val="134"/>
    </font>
    <font>
      <b/>
      <sz val="11"/>
      <color rgb="FF000000"/>
      <name val="Times New Roman"/>
      <family val="1"/>
      <charset val="0"/>
    </font>
    <font>
      <b/>
      <sz val="14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rgb="FF000000"/>
      <name val="SimSun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2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3" borderId="17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27" borderId="23" applyNumberFormat="0" applyAlignment="0" applyProtection="0">
      <alignment vertical="center"/>
    </xf>
    <xf numFmtId="0" fontId="40" fillId="27" borderId="19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</cellStyleXfs>
  <cellXfs count="132">
    <xf numFmtId="0" fontId="0" fillId="0" borderId="0" xfId="0" applyFill="1" applyBorder="1" applyAlignment="1">
      <alignment horizontal="left" vertical="top" wrapText="1"/>
    </xf>
    <xf numFmtId="0" fontId="1" fillId="0" borderId="0" xfId="49" applyFont="1" applyFill="1" applyAlignment="1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178" fontId="0" fillId="0" borderId="0" xfId="0" applyNumberFormat="1" applyFill="1" applyBorder="1" applyAlignment="1">
      <alignment horizontal="left" vertical="top" wrapText="1"/>
    </xf>
    <xf numFmtId="177" fontId="4" fillId="0" borderId="0" xfId="0" applyNumberFormat="1" applyFont="1" applyFill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178" fontId="5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176" fontId="3" fillId="0" borderId="12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center" vertical="top" wrapText="1"/>
    </xf>
    <xf numFmtId="178" fontId="4" fillId="0" borderId="0" xfId="0" applyNumberFormat="1" applyFont="1" applyFill="1" applyAlignment="1">
      <alignment horizontal="center" vertical="top" wrapText="1"/>
    </xf>
    <xf numFmtId="177" fontId="4" fillId="0" borderId="0" xfId="0" applyNumberFormat="1" applyFont="1" applyFill="1" applyBorder="1" applyAlignment="1">
      <alignment horizontal="center" vertical="top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left" vertical="top" wrapText="1"/>
    </xf>
    <xf numFmtId="178" fontId="3" fillId="0" borderId="12" xfId="0" applyNumberFormat="1" applyFont="1" applyFill="1" applyBorder="1" applyAlignment="1">
      <alignment horizontal="left" vertical="top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78" fontId="0" fillId="0" borderId="0" xfId="0" applyNumberForma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178" fontId="13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17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7" fillId="0" borderId="10" xfId="0" applyNumberFormat="1" applyFont="1" applyFill="1" applyBorder="1" applyAlignment="1">
      <alignment horizontal="center" vertical="top" wrapText="1"/>
    </xf>
    <xf numFmtId="178" fontId="7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178" fontId="5" fillId="0" borderId="11" xfId="0" applyNumberFormat="1" applyFon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>
      <alignment horizontal="left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49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1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7" fillId="0" borderId="1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left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 indent="1"/>
    </xf>
    <xf numFmtId="180" fontId="21" fillId="0" borderId="0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180" fontId="21" fillId="0" borderId="0" xfId="0" applyNumberFormat="1" applyFont="1" applyFill="1" applyBorder="1" applyAlignment="1">
      <alignment horizontal="left" vertical="top" wrapText="1" indent="1"/>
    </xf>
    <xf numFmtId="0" fontId="21" fillId="0" borderId="0" xfId="0" applyNumberFormat="1" applyFont="1" applyFill="1" applyBorder="1" applyAlignment="1">
      <alignment horizontal="left" vertical="top" wrapText="1" indent="1"/>
    </xf>
    <xf numFmtId="0" fontId="0" fillId="0" borderId="0" xfId="0" applyNumberForma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7" xfId="50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5"/>
  <sheetViews>
    <sheetView tabSelected="1" view="pageBreakPreview" zoomScaleNormal="115" zoomScaleSheetLayoutView="100" workbookViewId="0">
      <selection activeCell="K78" sqref="K78"/>
    </sheetView>
  </sheetViews>
  <sheetFormatPr defaultColWidth="10.2833333333333" defaultRowHeight="14.25"/>
  <cols>
    <col min="1" max="1" width="6.075" customWidth="1"/>
    <col min="2" max="2" width="23.375" customWidth="1"/>
    <col min="3" max="4" width="7.875" customWidth="1"/>
    <col min="5" max="5" width="9.89166666666667" style="55" customWidth="1"/>
    <col min="6" max="6" width="9.66666666666667" style="20" customWidth="1"/>
    <col min="7" max="7" width="10.65" customWidth="1"/>
    <col min="8" max="8" width="11.95" customWidth="1"/>
    <col min="9" max="9" width="10.5833333333333" style="55" customWidth="1"/>
    <col min="10" max="10" width="10.125" style="20" customWidth="1"/>
    <col min="11" max="11" width="10.5333333333333" customWidth="1"/>
    <col min="12" max="12" width="10.7583333333333" customWidth="1"/>
    <col min="13" max="13" width="25.3416666666667" customWidth="1"/>
    <col min="14" max="14" width="23.375" style="56" hidden="1" customWidth="1"/>
    <col min="15" max="15" width="12.5" style="56" hidden="1" customWidth="1"/>
    <col min="16" max="16" width="14.375" style="56" hidden="1" customWidth="1"/>
    <col min="17" max="17" width="15" style="56" hidden="1" customWidth="1"/>
    <col min="18" max="18" width="10.375" style="56" hidden="1" customWidth="1"/>
    <col min="19" max="20" width="10.2833333333333" style="56" hidden="1" customWidth="1"/>
  </cols>
  <sheetData>
    <row r="1" ht="37" customHeight="1" spans="1:13">
      <c r="A1" s="57" t="s">
        <v>0</v>
      </c>
      <c r="B1" s="57"/>
      <c r="C1" s="57"/>
      <c r="D1" s="57"/>
      <c r="E1" s="58"/>
      <c r="F1" s="58"/>
      <c r="G1" s="57"/>
      <c r="H1" s="57"/>
      <c r="I1" s="58"/>
      <c r="J1" s="58"/>
      <c r="K1" s="57"/>
      <c r="L1" s="57"/>
      <c r="M1" s="94"/>
    </row>
    <row r="2" s="48" customFormat="1" ht="27" customHeight="1" spans="1:20">
      <c r="A2" s="59" t="s">
        <v>1</v>
      </c>
      <c r="B2" s="59" t="s">
        <v>2</v>
      </c>
      <c r="C2" s="59" t="s">
        <v>3</v>
      </c>
      <c r="D2" s="59" t="s">
        <v>4</v>
      </c>
      <c r="E2" s="60" t="s">
        <v>5</v>
      </c>
      <c r="F2" s="60"/>
      <c r="G2" s="59"/>
      <c r="H2" s="59" t="s">
        <v>6</v>
      </c>
      <c r="I2" s="60" t="s">
        <v>7</v>
      </c>
      <c r="J2" s="60"/>
      <c r="K2" s="59"/>
      <c r="L2" s="95" t="s">
        <v>8</v>
      </c>
      <c r="M2" s="95" t="s">
        <v>9</v>
      </c>
      <c r="N2" s="96"/>
      <c r="O2" s="96"/>
      <c r="P2" s="96"/>
      <c r="Q2" s="96"/>
      <c r="R2" s="96"/>
      <c r="S2" s="96"/>
      <c r="T2" s="96"/>
    </row>
    <row r="3" s="48" customFormat="1" ht="26" customHeight="1" spans="1:20">
      <c r="A3" s="59"/>
      <c r="B3" s="59"/>
      <c r="C3" s="59"/>
      <c r="D3" s="59"/>
      <c r="E3" s="60" t="s">
        <v>10</v>
      </c>
      <c r="F3" s="60" t="s">
        <v>11</v>
      </c>
      <c r="G3" s="59" t="s">
        <v>12</v>
      </c>
      <c r="H3" s="59"/>
      <c r="I3" s="60" t="s">
        <v>10</v>
      </c>
      <c r="J3" s="60" t="s">
        <v>11</v>
      </c>
      <c r="K3" s="59" t="s">
        <v>12</v>
      </c>
      <c r="L3" s="97"/>
      <c r="M3" s="97"/>
      <c r="N3" s="96"/>
      <c r="O3" s="96">
        <f>L5/H5*100</f>
        <v>-20.9311639031272</v>
      </c>
      <c r="P3" s="96"/>
      <c r="Q3" s="96"/>
      <c r="R3" s="96"/>
      <c r="S3" s="96"/>
      <c r="T3" s="96"/>
    </row>
    <row r="4" s="48" customFormat="1" ht="23" customHeight="1" spans="1:20">
      <c r="A4" s="59"/>
      <c r="B4" s="59"/>
      <c r="C4" s="59" t="s">
        <v>13</v>
      </c>
      <c r="D4" s="59" t="s">
        <v>13</v>
      </c>
      <c r="E4" s="60"/>
      <c r="F4" s="60"/>
      <c r="G4" s="59" t="s">
        <v>13</v>
      </c>
      <c r="H4" s="59" t="s">
        <v>13</v>
      </c>
      <c r="I4" s="60"/>
      <c r="J4" s="60"/>
      <c r="K4" s="59" t="s">
        <v>13</v>
      </c>
      <c r="L4" s="59" t="s">
        <v>13</v>
      </c>
      <c r="M4" s="71"/>
      <c r="N4" s="96"/>
      <c r="O4" s="96"/>
      <c r="P4" s="98"/>
      <c r="Q4" s="96"/>
      <c r="R4" s="96"/>
      <c r="S4" s="96"/>
      <c r="T4" s="96"/>
    </row>
    <row r="5" s="49" customFormat="1" ht="24" customHeight="1" spans="1:20">
      <c r="A5" s="61" t="s">
        <v>14</v>
      </c>
      <c r="B5" s="62" t="s">
        <v>15</v>
      </c>
      <c r="C5" s="61"/>
      <c r="D5" s="62"/>
      <c r="E5" s="63"/>
      <c r="F5" s="64"/>
      <c r="G5" s="61"/>
      <c r="H5" s="61">
        <f>H6+H7+H8</f>
        <v>25119.96</v>
      </c>
      <c r="I5" s="63"/>
      <c r="J5" s="64"/>
      <c r="K5" s="61">
        <f>K6+K7+K8</f>
        <v>19862.06</v>
      </c>
      <c r="L5" s="72">
        <f>K5-H5</f>
        <v>-5257.9</v>
      </c>
      <c r="M5" s="62"/>
      <c r="N5" s="52"/>
      <c r="O5" s="99"/>
      <c r="P5" s="100"/>
      <c r="Q5" s="52"/>
      <c r="R5" s="52"/>
      <c r="S5" s="52"/>
      <c r="T5" s="52"/>
    </row>
    <row r="6" s="49" customFormat="1" ht="20" customHeight="1" spans="1:20">
      <c r="A6" s="61">
        <v>1</v>
      </c>
      <c r="B6" s="62" t="s">
        <v>16</v>
      </c>
      <c r="C6" s="61"/>
      <c r="D6" s="62"/>
      <c r="E6" s="63"/>
      <c r="F6" s="64"/>
      <c r="G6" s="61"/>
      <c r="H6" s="65">
        <v>3248.39</v>
      </c>
      <c r="I6" s="63"/>
      <c r="J6" s="64"/>
      <c r="K6" s="65">
        <v>3248.39</v>
      </c>
      <c r="L6" s="72">
        <f t="shared" ref="L6:L38" si="0">K6-H6</f>
        <v>0</v>
      </c>
      <c r="M6" s="62" t="s">
        <v>17</v>
      </c>
      <c r="N6" s="52">
        <f>L8/H8*100</f>
        <v>-58.8580339162158</v>
      </c>
      <c r="O6" s="99"/>
      <c r="P6" s="100"/>
      <c r="Q6" s="52"/>
      <c r="R6" s="52"/>
      <c r="S6" s="52"/>
      <c r="T6" s="52"/>
    </row>
    <row r="7" s="49" customFormat="1" ht="31" customHeight="1" spans="1:20">
      <c r="A7" s="61">
        <v>2</v>
      </c>
      <c r="B7" s="62" t="s">
        <v>18</v>
      </c>
      <c r="C7" s="61"/>
      <c r="D7" s="62"/>
      <c r="E7" s="63"/>
      <c r="F7" s="64"/>
      <c r="G7" s="61"/>
      <c r="H7" s="65">
        <v>12938.38</v>
      </c>
      <c r="I7" s="63"/>
      <c r="J7" s="64"/>
      <c r="K7" s="65">
        <v>12938.38</v>
      </c>
      <c r="L7" s="72">
        <f t="shared" si="0"/>
        <v>0</v>
      </c>
      <c r="M7" s="62" t="s">
        <v>17</v>
      </c>
      <c r="N7" s="52"/>
      <c r="O7" s="52"/>
      <c r="P7" s="100"/>
      <c r="Q7" s="52"/>
      <c r="R7" s="52"/>
      <c r="S7" s="52"/>
      <c r="T7" s="52"/>
    </row>
    <row r="8" s="50" customFormat="1" ht="26" customHeight="1" spans="1:20">
      <c r="A8" s="66">
        <v>3</v>
      </c>
      <c r="B8" s="67" t="s">
        <v>19</v>
      </c>
      <c r="C8" s="66"/>
      <c r="D8" s="67"/>
      <c r="E8" s="68"/>
      <c r="F8" s="69"/>
      <c r="G8" s="66"/>
      <c r="H8" s="70">
        <v>8933.19</v>
      </c>
      <c r="I8" s="68"/>
      <c r="J8" s="69"/>
      <c r="K8" s="70">
        <v>3675.29</v>
      </c>
      <c r="L8" s="72">
        <f t="shared" si="0"/>
        <v>-5257.9</v>
      </c>
      <c r="M8" s="101"/>
      <c r="N8" s="102"/>
      <c r="O8" s="103"/>
      <c r="P8" s="103"/>
      <c r="Q8" s="102"/>
      <c r="R8" s="102">
        <f>29279.34*1.1</f>
        <v>32207.274</v>
      </c>
      <c r="S8" s="102"/>
      <c r="T8" s="102"/>
    </row>
    <row r="9" ht="20" customHeight="1" spans="1:16">
      <c r="A9" s="59" t="s">
        <v>20</v>
      </c>
      <c r="B9" s="71" t="s">
        <v>21</v>
      </c>
      <c r="C9" s="62"/>
      <c r="D9" s="62"/>
      <c r="E9" s="68">
        <f>SUM(E10,E15:E18,E21:E24,E27:E28,E32,E37,E43:E61)</f>
        <v>687.53</v>
      </c>
      <c r="F9" s="63">
        <f>F10+F15+F16+F17+F18+F21+F24+F27+F28+F32+F37+F43+F44+F45+F46+F47+F50+F51+F52+F22+F23+F53+F54+F55+F48+F49+F56+F59+F60+F61</f>
        <v>5624.77545569912</v>
      </c>
      <c r="G9" s="63">
        <f>G10+G15+G16+G17+G18+G21+G24+G27+G28+G32+G37+G43+G44+G45+G46+G47+G50+G51+G52+G22+G23+G53+G54+G55+G48+G49+G56+G59+G60+G61</f>
        <v>6312.30545570081</v>
      </c>
      <c r="H9" s="63">
        <f>G9</f>
        <v>6312.30545570081</v>
      </c>
      <c r="I9" s="68">
        <f>SUM(I10,I15:I18,I21:I24,I27:I28,I32,I37,I43:I61)</f>
        <v>687.53</v>
      </c>
      <c r="J9" s="63">
        <f>ROUND(J10+J15+J16+J17+J18+J21+J24+J27+J28+J32+J37+J43+J44+J45+J46+J47+J50+J51+J52+J22+J23+J53+J54+J55+J48+J49+J56+J59+J60+J57+J58+J61,2)</f>
        <v>4654.85</v>
      </c>
      <c r="K9" s="63">
        <f>ROUND(K10+K15+K16+K17+K18+K21+K24+K27+K28+K32+K37+K43+K44+K45+K46+K47+K50+K51+K52+K22+K23+K53+K54+K55+K48+K49+K56+K59+K60+K57+K58+K61,2)</f>
        <v>5342.38</v>
      </c>
      <c r="L9" s="72">
        <f t="shared" si="0"/>
        <v>-969.925455700808</v>
      </c>
      <c r="M9" s="104"/>
      <c r="O9" s="56">
        <v>3664.28</v>
      </c>
      <c r="P9" s="56">
        <f>K8-O9</f>
        <v>11.0099999999998</v>
      </c>
    </row>
    <row r="10" ht="16.75" customHeight="1" spans="1:13">
      <c r="A10" s="59">
        <v>1</v>
      </c>
      <c r="B10" s="71" t="s">
        <v>22</v>
      </c>
      <c r="C10" s="62"/>
      <c r="D10" s="62"/>
      <c r="E10" s="68">
        <f>SUM(E11:E14)</f>
        <v>272.6</v>
      </c>
      <c r="F10" s="72">
        <v>2474.01</v>
      </c>
      <c r="G10" s="63">
        <v>2746.61</v>
      </c>
      <c r="H10" s="63">
        <v>2624.01</v>
      </c>
      <c r="I10" s="68">
        <f>SUM(I11:I14)</f>
        <v>272.6</v>
      </c>
      <c r="J10" s="63">
        <f>J11+J12+J13+J14</f>
        <v>2474.01</v>
      </c>
      <c r="K10" s="63">
        <f>K11+K12+K13+K14</f>
        <v>2746.61</v>
      </c>
      <c r="L10" s="72">
        <f t="shared" si="0"/>
        <v>122.6</v>
      </c>
      <c r="M10" s="104"/>
    </row>
    <row r="11" s="51" customFormat="1" ht="16.75" customHeight="1" spans="1:20">
      <c r="A11" s="22">
        <v>1.1</v>
      </c>
      <c r="B11" s="73" t="s">
        <v>23</v>
      </c>
      <c r="C11" s="74"/>
      <c r="D11" s="74"/>
      <c r="E11" s="75">
        <v>122.6</v>
      </c>
      <c r="F11" s="72">
        <v>0</v>
      </c>
      <c r="G11" s="72">
        <v>122.6</v>
      </c>
      <c r="H11" s="72">
        <f t="shared" ref="H11:H26" si="1">G11</f>
        <v>122.6</v>
      </c>
      <c r="I11" s="75">
        <v>122.6</v>
      </c>
      <c r="J11" s="72">
        <v>0</v>
      </c>
      <c r="K11" s="72">
        <f>I11+J11</f>
        <v>122.6</v>
      </c>
      <c r="L11" s="72">
        <f t="shared" si="0"/>
        <v>0</v>
      </c>
      <c r="M11" s="104"/>
      <c r="N11" s="105"/>
      <c r="O11" s="105">
        <v>5296.07</v>
      </c>
      <c r="P11" s="106">
        <f>K9-O11</f>
        <v>46.3100000000004</v>
      </c>
      <c r="Q11" s="105"/>
      <c r="R11" s="105"/>
      <c r="S11" s="105"/>
      <c r="T11" s="105"/>
    </row>
    <row r="12" s="51" customFormat="1" ht="16.75" customHeight="1" spans="1:20">
      <c r="A12" s="22">
        <v>1.2</v>
      </c>
      <c r="B12" s="73" t="s">
        <v>24</v>
      </c>
      <c r="C12" s="74"/>
      <c r="D12" s="74"/>
      <c r="E12" s="75">
        <v>150</v>
      </c>
      <c r="F12" s="72">
        <v>2341.53</v>
      </c>
      <c r="G12" s="72">
        <v>2491.53</v>
      </c>
      <c r="H12" s="72">
        <f t="shared" si="1"/>
        <v>2491.53</v>
      </c>
      <c r="I12" s="75">
        <v>150</v>
      </c>
      <c r="J12" s="72">
        <f t="shared" ref="J12:J17" si="2">K12-I12</f>
        <v>2341.53</v>
      </c>
      <c r="K12" s="72">
        <v>2491.53</v>
      </c>
      <c r="L12" s="72">
        <f t="shared" si="0"/>
        <v>0</v>
      </c>
      <c r="M12" s="104"/>
      <c r="N12" s="105"/>
      <c r="O12" s="105"/>
      <c r="P12" s="105"/>
      <c r="Q12" s="105"/>
      <c r="R12" s="105"/>
      <c r="S12" s="105"/>
      <c r="T12" s="105"/>
    </row>
    <row r="13" s="51" customFormat="1" ht="16.75" customHeight="1" spans="1:20">
      <c r="A13" s="22">
        <v>1.3</v>
      </c>
      <c r="B13" s="73" t="s">
        <v>25</v>
      </c>
      <c r="C13" s="74"/>
      <c r="D13" s="74"/>
      <c r="E13" s="75">
        <v>0</v>
      </c>
      <c r="F13" s="72">
        <v>109.88</v>
      </c>
      <c r="G13" s="72">
        <v>109.88</v>
      </c>
      <c r="H13" s="72">
        <f t="shared" si="1"/>
        <v>109.88</v>
      </c>
      <c r="I13" s="75">
        <v>0</v>
      </c>
      <c r="J13" s="72">
        <f t="shared" si="2"/>
        <v>109.88</v>
      </c>
      <c r="K13" s="72">
        <v>109.88</v>
      </c>
      <c r="L13" s="72">
        <f t="shared" si="0"/>
        <v>0</v>
      </c>
      <c r="M13" s="104"/>
      <c r="N13" s="105"/>
      <c r="O13" s="105"/>
      <c r="P13" s="105"/>
      <c r="Q13" s="105"/>
      <c r="R13" s="105"/>
      <c r="S13" s="105"/>
      <c r="T13" s="105"/>
    </row>
    <row r="14" s="51" customFormat="1" ht="16.75" customHeight="1" spans="1:20">
      <c r="A14" s="22">
        <v>1.4</v>
      </c>
      <c r="B14" s="73" t="s">
        <v>26</v>
      </c>
      <c r="C14" s="74"/>
      <c r="D14" s="74"/>
      <c r="E14" s="75">
        <v>0</v>
      </c>
      <c r="F14" s="72">
        <v>22.6</v>
      </c>
      <c r="G14" s="72">
        <v>22.6</v>
      </c>
      <c r="H14" s="72">
        <f t="shared" si="1"/>
        <v>22.6</v>
      </c>
      <c r="I14" s="75">
        <v>0</v>
      </c>
      <c r="J14" s="72">
        <f>226*1000/10000</f>
        <v>22.6</v>
      </c>
      <c r="K14" s="72">
        <v>22.6</v>
      </c>
      <c r="L14" s="72">
        <f t="shared" si="0"/>
        <v>0</v>
      </c>
      <c r="M14" s="104" t="s">
        <v>27</v>
      </c>
      <c r="N14" s="105"/>
      <c r="O14" s="105"/>
      <c r="P14" s="105"/>
      <c r="Q14" s="105"/>
      <c r="R14" s="105"/>
      <c r="S14" s="105"/>
      <c r="T14" s="105"/>
    </row>
    <row r="15" s="49" customFormat="1" ht="16.75" customHeight="1" spans="1:20">
      <c r="A15" s="76">
        <v>2</v>
      </c>
      <c r="B15" s="71" t="s">
        <v>28</v>
      </c>
      <c r="C15" s="62"/>
      <c r="D15" s="62"/>
      <c r="E15" s="68">
        <v>61.75</v>
      </c>
      <c r="F15" s="72">
        <v>304.625036914155</v>
      </c>
      <c r="G15" s="63">
        <v>366.375036915511</v>
      </c>
      <c r="H15" s="63">
        <v>325.49</v>
      </c>
      <c r="I15" s="68">
        <v>61.75</v>
      </c>
      <c r="J15" s="63">
        <f t="shared" si="2"/>
        <v>211.3264</v>
      </c>
      <c r="K15" s="63">
        <f>140+(K67-K10-273.08-10000)*1%</f>
        <v>273.0764</v>
      </c>
      <c r="L15" s="72">
        <f t="shared" si="0"/>
        <v>-52.4136</v>
      </c>
      <c r="M15" s="71" t="s">
        <v>29</v>
      </c>
      <c r="N15" s="52"/>
      <c r="O15" s="52"/>
      <c r="P15" s="52"/>
      <c r="Q15" s="52"/>
      <c r="R15" s="52"/>
      <c r="S15" s="52"/>
      <c r="T15" s="52"/>
    </row>
    <row r="16" s="49" customFormat="1" ht="30" customHeight="1" spans="1:20">
      <c r="A16" s="76">
        <v>3</v>
      </c>
      <c r="B16" s="71" t="s">
        <v>30</v>
      </c>
      <c r="C16" s="62"/>
      <c r="D16" s="62"/>
      <c r="E16" s="68">
        <v>66.72</v>
      </c>
      <c r="F16" s="72">
        <v>407.2681704</v>
      </c>
      <c r="G16" s="63">
        <v>473.9881704</v>
      </c>
      <c r="H16" s="63">
        <f t="shared" si="1"/>
        <v>473.9881704</v>
      </c>
      <c r="I16" s="68">
        <v>66.72</v>
      </c>
      <c r="J16" s="63">
        <f t="shared" si="2"/>
        <v>246.07104704</v>
      </c>
      <c r="K16" s="63">
        <f>((393.4-218.6)/(20000-10000)*(K5-10000)+218.6)*0.8</f>
        <v>312.79104704</v>
      </c>
      <c r="L16" s="72">
        <f t="shared" si="0"/>
        <v>-161.19712336</v>
      </c>
      <c r="M16" s="71" t="s">
        <v>31</v>
      </c>
      <c r="N16" s="52"/>
      <c r="O16" s="52"/>
      <c r="P16" s="52"/>
      <c r="Q16" s="52"/>
      <c r="R16" s="52"/>
      <c r="S16" s="52"/>
      <c r="T16" s="52"/>
    </row>
    <row r="17" s="52" customFormat="1" ht="24" customHeight="1" spans="1:15">
      <c r="A17" s="77">
        <v>4</v>
      </c>
      <c r="B17" s="71" t="s">
        <v>32</v>
      </c>
      <c r="C17" s="71"/>
      <c r="D17" s="71"/>
      <c r="E17" s="68">
        <v>9.04</v>
      </c>
      <c r="F17" s="72">
        <v>31.35</v>
      </c>
      <c r="G17" s="78">
        <v>40.39</v>
      </c>
      <c r="H17" s="60">
        <f t="shared" si="1"/>
        <v>40.39</v>
      </c>
      <c r="I17" s="68">
        <v>9.04</v>
      </c>
      <c r="J17" s="63">
        <f t="shared" si="2"/>
        <v>25.72</v>
      </c>
      <c r="K17" s="78">
        <v>34.76</v>
      </c>
      <c r="L17" s="72">
        <f t="shared" si="0"/>
        <v>-5.63</v>
      </c>
      <c r="M17" s="71" t="s">
        <v>33</v>
      </c>
      <c r="O17" s="52">
        <f>(28+(J73-10000)/40000*(75-28))*0.7*0.8</f>
        <v>34.76490836</v>
      </c>
    </row>
    <row r="18" s="49" customFormat="1" ht="27" customHeight="1" spans="1:20">
      <c r="A18" s="76">
        <v>5</v>
      </c>
      <c r="B18" s="71" t="s">
        <v>34</v>
      </c>
      <c r="C18" s="62"/>
      <c r="D18" s="62"/>
      <c r="E18" s="68">
        <v>5.1</v>
      </c>
      <c r="F18" s="72">
        <v>16.8011636181639</v>
      </c>
      <c r="G18" s="63">
        <v>21.9011636184958</v>
      </c>
      <c r="H18" s="63">
        <f t="shared" si="1"/>
        <v>21.9011636184958</v>
      </c>
      <c r="I18" s="68">
        <v>5.1</v>
      </c>
      <c r="J18" s="63">
        <f t="shared" ref="J18:J24" si="3">K18-I18</f>
        <v>8.165466</v>
      </c>
      <c r="K18" s="63">
        <f>K19+K20</f>
        <v>13.265466</v>
      </c>
      <c r="L18" s="72">
        <f t="shared" si="0"/>
        <v>-8.63569761849583</v>
      </c>
      <c r="M18" s="71"/>
      <c r="N18" s="52"/>
      <c r="O18" s="52"/>
      <c r="P18" s="52"/>
      <c r="Q18" s="52"/>
      <c r="R18" s="52"/>
      <c r="S18" s="52"/>
      <c r="T18" s="52"/>
    </row>
    <row r="19" ht="29" customHeight="1" spans="1:15">
      <c r="A19" s="79" t="s">
        <v>35</v>
      </c>
      <c r="B19" s="36" t="s">
        <v>36</v>
      </c>
      <c r="C19" s="74"/>
      <c r="D19" s="74"/>
      <c r="E19" s="75"/>
      <c r="F19" s="72">
        <v>18.2509696820799</v>
      </c>
      <c r="G19" s="72">
        <v>18.2509696821163</v>
      </c>
      <c r="H19" s="72">
        <f t="shared" si="1"/>
        <v>18.2509696821163</v>
      </c>
      <c r="I19" s="75">
        <v>5.1</v>
      </c>
      <c r="J19" s="72">
        <f t="shared" si="3"/>
        <v>8.165466</v>
      </c>
      <c r="K19" s="72">
        <f>(15+(K67-20000)/80000*20)*0.8</f>
        <v>13.265466</v>
      </c>
      <c r="L19" s="72">
        <f t="shared" si="0"/>
        <v>-4.98550368211632</v>
      </c>
      <c r="M19" s="71" t="s">
        <v>37</v>
      </c>
      <c r="O19" s="56">
        <f>(15+(K67-20000)/80000*20)*0.8</f>
        <v>13.265466</v>
      </c>
    </row>
    <row r="20" ht="17" customHeight="1" spans="1:13">
      <c r="A20" s="79" t="s">
        <v>38</v>
      </c>
      <c r="B20" s="36" t="s">
        <v>39</v>
      </c>
      <c r="C20" s="74"/>
      <c r="D20" s="74"/>
      <c r="E20" s="75"/>
      <c r="F20" s="72">
        <v>3.65019393641597</v>
      </c>
      <c r="G20" s="72">
        <v>3.65019393642326</v>
      </c>
      <c r="H20" s="72">
        <f t="shared" si="1"/>
        <v>3.65019393642326</v>
      </c>
      <c r="I20" s="75"/>
      <c r="J20" s="72">
        <f t="shared" si="3"/>
        <v>0</v>
      </c>
      <c r="K20" s="72">
        <v>0</v>
      </c>
      <c r="L20" s="72">
        <f t="shared" si="0"/>
        <v>-3.65019393642326</v>
      </c>
      <c r="M20" s="73" t="s">
        <v>40</v>
      </c>
    </row>
    <row r="21" s="49" customFormat="1" ht="18" customHeight="1" spans="1:20">
      <c r="A21" s="76">
        <v>6</v>
      </c>
      <c r="B21" s="71" t="s">
        <v>41</v>
      </c>
      <c r="C21" s="62"/>
      <c r="D21" s="62"/>
      <c r="E21" s="68">
        <v>28.39</v>
      </c>
      <c r="F21" s="72">
        <v>65.61</v>
      </c>
      <c r="G21" s="63">
        <v>94</v>
      </c>
      <c r="H21" s="63">
        <f t="shared" si="1"/>
        <v>94</v>
      </c>
      <c r="I21" s="68">
        <v>28.39</v>
      </c>
      <c r="J21" s="63">
        <f t="shared" si="3"/>
        <v>65.61</v>
      </c>
      <c r="K21" s="63">
        <v>94</v>
      </c>
      <c r="L21" s="72">
        <f t="shared" si="0"/>
        <v>0</v>
      </c>
      <c r="M21" s="71" t="s">
        <v>33</v>
      </c>
      <c r="N21" s="52"/>
      <c r="O21" s="52"/>
      <c r="P21" s="52"/>
      <c r="Q21" s="52"/>
      <c r="R21" s="52"/>
      <c r="S21" s="52"/>
      <c r="T21" s="52"/>
    </row>
    <row r="22" s="49" customFormat="1" ht="18" customHeight="1" spans="1:20">
      <c r="A22" s="76">
        <v>7</v>
      </c>
      <c r="B22" s="71" t="s">
        <v>42</v>
      </c>
      <c r="C22" s="62"/>
      <c r="D22" s="62"/>
      <c r="E22" s="78">
        <v>8.2</v>
      </c>
      <c r="F22" s="72">
        <v>25.5</v>
      </c>
      <c r="G22" s="63">
        <v>33.7</v>
      </c>
      <c r="H22" s="63">
        <f t="shared" si="1"/>
        <v>33.7</v>
      </c>
      <c r="I22" s="78">
        <v>8.2</v>
      </c>
      <c r="J22" s="63">
        <f t="shared" si="3"/>
        <v>25.5</v>
      </c>
      <c r="K22" s="63">
        <v>33.7</v>
      </c>
      <c r="L22" s="72">
        <f t="shared" si="0"/>
        <v>0</v>
      </c>
      <c r="M22" s="71" t="s">
        <v>33</v>
      </c>
      <c r="N22" s="52"/>
      <c r="O22" s="52">
        <f>K5*0.8%</f>
        <v>158.89648</v>
      </c>
      <c r="P22" s="52"/>
      <c r="Q22" s="52"/>
      <c r="R22" s="52"/>
      <c r="S22" s="52"/>
      <c r="T22" s="52"/>
    </row>
    <row r="23" s="52" customFormat="1" ht="18" customHeight="1" spans="1:14">
      <c r="A23" s="77">
        <v>8</v>
      </c>
      <c r="B23" s="71" t="s">
        <v>43</v>
      </c>
      <c r="C23" s="71"/>
      <c r="D23" s="71"/>
      <c r="E23" s="78">
        <v>25</v>
      </c>
      <c r="F23" s="72">
        <v>73</v>
      </c>
      <c r="G23" s="60">
        <v>98</v>
      </c>
      <c r="H23" s="60">
        <f t="shared" si="1"/>
        <v>98</v>
      </c>
      <c r="I23" s="78">
        <v>25</v>
      </c>
      <c r="J23" s="63">
        <f t="shared" si="3"/>
        <v>70.5</v>
      </c>
      <c r="K23" s="60">
        <v>95.5</v>
      </c>
      <c r="L23" s="72">
        <f t="shared" si="0"/>
        <v>-2.5</v>
      </c>
      <c r="M23" s="71" t="s">
        <v>33</v>
      </c>
      <c r="N23" s="107"/>
    </row>
    <row r="24" s="53" customFormat="1" ht="27" customHeight="1" spans="1:17">
      <c r="A24" s="80">
        <v>9</v>
      </c>
      <c r="B24" s="81" t="s">
        <v>44</v>
      </c>
      <c r="C24" s="81"/>
      <c r="D24" s="81"/>
      <c r="E24" s="78">
        <v>89.01</v>
      </c>
      <c r="F24" s="72">
        <v>532.69</v>
      </c>
      <c r="G24" s="78">
        <v>621.7</v>
      </c>
      <c r="H24" s="78">
        <f t="shared" si="1"/>
        <v>621.7</v>
      </c>
      <c r="I24" s="78">
        <v>89.01</v>
      </c>
      <c r="J24" s="68">
        <f t="shared" si="3"/>
        <v>422.4987776</v>
      </c>
      <c r="K24" s="78">
        <f>K25+K26</f>
        <v>511.5087776</v>
      </c>
      <c r="L24" s="72">
        <f t="shared" si="0"/>
        <v>-110.1912224</v>
      </c>
      <c r="M24" s="81" t="s">
        <v>45</v>
      </c>
      <c r="N24" s="107"/>
      <c r="O24" s="102">
        <f>(304.8+(K5-10000)/10000*(566.8-304.8)*0.8)</f>
        <v>511.5087776</v>
      </c>
      <c r="P24" s="102"/>
      <c r="Q24" s="102"/>
    </row>
    <row r="25" s="54" customFormat="1" ht="16.6" customHeight="1" spans="1:17">
      <c r="A25" s="82">
        <v>9.1</v>
      </c>
      <c r="B25" s="83" t="s">
        <v>46</v>
      </c>
      <c r="C25" s="83"/>
      <c r="D25" s="83"/>
      <c r="E25" s="84"/>
      <c r="F25" s="72"/>
      <c r="G25" s="84">
        <v>243.56</v>
      </c>
      <c r="H25" s="84">
        <f t="shared" si="1"/>
        <v>243.56</v>
      </c>
      <c r="I25" s="84"/>
      <c r="J25" s="75"/>
      <c r="K25" s="84">
        <f>O25</f>
        <v>204.60351104</v>
      </c>
      <c r="L25" s="72">
        <f t="shared" si="0"/>
        <v>-38.95648896</v>
      </c>
      <c r="M25" s="83"/>
      <c r="N25" s="108"/>
      <c r="O25" s="102">
        <f>(304.8+(K5-10000)/10000*(566.8-304.8)*0.8)*0.4</f>
        <v>204.60351104</v>
      </c>
      <c r="P25" s="102"/>
      <c r="Q25" s="102"/>
    </row>
    <row r="26" s="54" customFormat="1" ht="16.6" customHeight="1" spans="1:17">
      <c r="A26" s="82">
        <v>9.2</v>
      </c>
      <c r="B26" s="83" t="s">
        <v>47</v>
      </c>
      <c r="C26" s="83"/>
      <c r="D26" s="83"/>
      <c r="E26" s="84"/>
      <c r="F26" s="72"/>
      <c r="G26" s="84">
        <v>378.14</v>
      </c>
      <c r="H26" s="84">
        <f t="shared" si="1"/>
        <v>378.14</v>
      </c>
      <c r="I26" s="84"/>
      <c r="J26" s="75"/>
      <c r="K26" s="84">
        <f>O26</f>
        <v>306.90526656</v>
      </c>
      <c r="L26" s="72">
        <f t="shared" si="0"/>
        <v>-71.2347334400001</v>
      </c>
      <c r="M26" s="83"/>
      <c r="N26" s="108"/>
      <c r="O26" s="102">
        <f>(304.8+(K5-10000)/10000*(566.8-304.8)*0.8)*0.6</f>
        <v>306.90526656</v>
      </c>
      <c r="P26" s="102"/>
      <c r="Q26" s="102"/>
    </row>
    <row r="27" s="49" customFormat="1" ht="19" customHeight="1" spans="1:20">
      <c r="A27" s="76">
        <v>10</v>
      </c>
      <c r="B27" s="71" t="s">
        <v>48</v>
      </c>
      <c r="C27" s="62"/>
      <c r="D27" s="62"/>
      <c r="E27" s="68">
        <v>4.43</v>
      </c>
      <c r="F27" s="72">
        <v>7.75</v>
      </c>
      <c r="G27" s="60">
        <v>12.18</v>
      </c>
      <c r="H27" s="63">
        <f t="shared" ref="H27:H42" si="4">G27</f>
        <v>12.18</v>
      </c>
      <c r="I27" s="68">
        <v>4.43</v>
      </c>
      <c r="J27" s="68">
        <f t="shared" ref="J27:J50" si="5">K27-I27</f>
        <v>7.75</v>
      </c>
      <c r="K27" s="78">
        <v>12.18</v>
      </c>
      <c r="L27" s="72">
        <f>O27-H27</f>
        <v>6.8614808832</v>
      </c>
      <c r="M27" s="71" t="s">
        <v>33</v>
      </c>
      <c r="N27" s="52"/>
      <c r="O27" s="60">
        <f>(38.8*6.5%+(78.1-38.8)*6%+(120.8-78.7)*5.5%+(218.6-120.8)*5%+(K24-218.6)*4%)*0.8</f>
        <v>19.0414808832</v>
      </c>
      <c r="P27" s="52"/>
      <c r="Q27" s="52"/>
      <c r="R27" s="113"/>
      <c r="S27" s="52"/>
      <c r="T27" s="52"/>
    </row>
    <row r="28" s="49" customFormat="1" ht="19" customHeight="1" spans="1:20">
      <c r="A28" s="76">
        <v>11</v>
      </c>
      <c r="B28" s="71" t="s">
        <v>49</v>
      </c>
      <c r="C28" s="62"/>
      <c r="D28" s="62"/>
      <c r="E28" s="68">
        <f>SUM(E29:E31)</f>
        <v>21.59</v>
      </c>
      <c r="F28" s="72">
        <v>321.305608</v>
      </c>
      <c r="G28" s="63">
        <v>342.895608</v>
      </c>
      <c r="H28" s="63">
        <f t="shared" si="4"/>
        <v>342.895608</v>
      </c>
      <c r="I28" s="68">
        <f>SUM(I29:I31)</f>
        <v>21.59</v>
      </c>
      <c r="J28" s="63">
        <f t="shared" si="5"/>
        <v>84.9510144</v>
      </c>
      <c r="K28" s="63">
        <f>K29+K30+K31</f>
        <v>106.5410144</v>
      </c>
      <c r="L28" s="72">
        <f t="shared" si="0"/>
        <v>-236.3545936</v>
      </c>
      <c r="M28" s="71"/>
      <c r="N28" s="52"/>
      <c r="O28" s="52"/>
      <c r="P28" s="52"/>
      <c r="Q28" s="52"/>
      <c r="R28" s="52"/>
      <c r="S28" s="52"/>
      <c r="T28" s="52"/>
    </row>
    <row r="29" ht="29" customHeight="1" spans="1:17">
      <c r="A29" s="79" t="s">
        <v>50</v>
      </c>
      <c r="B29" s="36" t="s">
        <v>51</v>
      </c>
      <c r="C29" s="74"/>
      <c r="D29" s="74"/>
      <c r="E29" s="75">
        <v>11.03</v>
      </c>
      <c r="F29" s="72">
        <v>44.34</v>
      </c>
      <c r="G29" s="72">
        <v>55.37</v>
      </c>
      <c r="H29" s="63">
        <v>55.37</v>
      </c>
      <c r="I29" s="75">
        <v>11.03</v>
      </c>
      <c r="J29" s="72">
        <f t="shared" si="5"/>
        <v>44.34</v>
      </c>
      <c r="K29" s="72">
        <v>55.37</v>
      </c>
      <c r="L29" s="72">
        <f t="shared" si="0"/>
        <v>0</v>
      </c>
      <c r="M29" s="73" t="s">
        <v>33</v>
      </c>
      <c r="N29" s="109"/>
      <c r="O29" s="110"/>
      <c r="P29" s="111"/>
      <c r="Q29" s="115"/>
    </row>
    <row r="30" ht="21" customHeight="1" spans="1:17">
      <c r="A30" s="79" t="s">
        <v>52</v>
      </c>
      <c r="B30" s="36" t="s">
        <v>53</v>
      </c>
      <c r="C30" s="74"/>
      <c r="D30" s="74"/>
      <c r="E30" s="75">
        <v>10.56</v>
      </c>
      <c r="F30" s="72">
        <v>68.125888</v>
      </c>
      <c r="G30" s="72">
        <v>78.685888</v>
      </c>
      <c r="H30" s="63"/>
      <c r="I30" s="75">
        <v>10.56</v>
      </c>
      <c r="J30" s="72">
        <f t="shared" si="5"/>
        <v>40.6110144</v>
      </c>
      <c r="K30" s="72">
        <f>(500*0.0049+(1000-500)*0.0044+(5000-1000)*0.0038+(10000-5000)*0.0033+(K5-10000)*0.0028)*0.8</f>
        <v>51.1710144</v>
      </c>
      <c r="L30" s="72">
        <f t="shared" si="0"/>
        <v>51.1710144</v>
      </c>
      <c r="M30" s="73" t="s">
        <v>54</v>
      </c>
      <c r="N30" s="112"/>
      <c r="O30" s="72">
        <f>500*0.005+(1000-500)*0.0046+(5000-1000)*0.004+(10000-5000)*0.0035+(K5-10000)*0.003</f>
        <v>67.88618</v>
      </c>
      <c r="P30" s="111"/>
      <c r="Q30" s="110"/>
    </row>
    <row r="31" ht="24" customHeight="1" spans="1:19">
      <c r="A31" s="79" t="s">
        <v>55</v>
      </c>
      <c r="B31" s="36" t="s">
        <v>56</v>
      </c>
      <c r="C31" s="74"/>
      <c r="D31" s="74"/>
      <c r="E31" s="75"/>
      <c r="F31" s="72">
        <v>208.83972</v>
      </c>
      <c r="G31" s="72">
        <v>208.83972</v>
      </c>
      <c r="H31" s="63"/>
      <c r="I31" s="75"/>
      <c r="J31" s="72">
        <f t="shared" si="5"/>
        <v>0</v>
      </c>
      <c r="K31" s="72">
        <f>(500*0.015+(1000-500)*0.013+(5000-1000)*0.011+(10000-5000)*0.009+(K5-10000)*0.007)*0.8*0</f>
        <v>0</v>
      </c>
      <c r="L31" s="72">
        <f t="shared" si="0"/>
        <v>0</v>
      </c>
      <c r="M31" s="73" t="s">
        <v>40</v>
      </c>
      <c r="O31" s="110"/>
      <c r="P31" s="111"/>
      <c r="Q31" s="110"/>
      <c r="S31" s="109"/>
    </row>
    <row r="32" ht="17" customHeight="1" spans="1:13">
      <c r="A32" s="85" t="s">
        <v>57</v>
      </c>
      <c r="B32" s="71" t="s">
        <v>58</v>
      </c>
      <c r="C32" s="62"/>
      <c r="D32" s="62"/>
      <c r="E32" s="68">
        <v>11.54</v>
      </c>
      <c r="F32" s="72">
        <v>38.9061767668</v>
      </c>
      <c r="G32" s="63">
        <v>50.4461767668</v>
      </c>
      <c r="H32" s="63">
        <f t="shared" si="4"/>
        <v>50.4461767668</v>
      </c>
      <c r="I32" s="68">
        <v>11.54</v>
      </c>
      <c r="J32" s="72">
        <f t="shared" si="5"/>
        <v>22.64625559936</v>
      </c>
      <c r="K32" s="63">
        <f>K33+K34+K35+K36</f>
        <v>34.18625559936</v>
      </c>
      <c r="L32" s="72">
        <f t="shared" si="0"/>
        <v>-16.25992116744</v>
      </c>
      <c r="M32" s="73" t="s">
        <v>59</v>
      </c>
    </row>
    <row r="33" ht="28" customHeight="1" spans="1:13">
      <c r="A33" s="79" t="s">
        <v>60</v>
      </c>
      <c r="B33" s="36" t="s">
        <v>61</v>
      </c>
      <c r="C33" s="74"/>
      <c r="D33" s="74"/>
      <c r="E33" s="75"/>
      <c r="F33" s="72"/>
      <c r="G33" s="72">
        <v>38.10998</v>
      </c>
      <c r="H33" s="72">
        <f t="shared" si="4"/>
        <v>38.10998</v>
      </c>
      <c r="I33" s="75">
        <v>15.78</v>
      </c>
      <c r="J33" s="72">
        <f t="shared" si="5"/>
        <v>12.604824</v>
      </c>
      <c r="K33" s="72">
        <f>(100*0.01+(500-100)*0.007+(1000-500)*0.0055+(5000-1000)*0.0035+(10000-5000)*0.002+(K5-10000)*0.0005)*0.8</f>
        <v>28.384824</v>
      </c>
      <c r="L33" s="72">
        <f t="shared" si="0"/>
        <v>-9.725156</v>
      </c>
      <c r="M33" s="73"/>
    </row>
    <row r="34" ht="33" customHeight="1" spans="1:15">
      <c r="A34" s="79" t="s">
        <v>62</v>
      </c>
      <c r="B34" s="36" t="s">
        <v>63</v>
      </c>
      <c r="C34" s="74"/>
      <c r="D34" s="74"/>
      <c r="E34" s="75"/>
      <c r="F34" s="72"/>
      <c r="G34" s="72">
        <v>4.5829467668</v>
      </c>
      <c r="H34" s="72">
        <f t="shared" si="4"/>
        <v>4.5829467668</v>
      </c>
      <c r="I34" s="75">
        <v>0</v>
      </c>
      <c r="J34" s="72">
        <f t="shared" si="5"/>
        <v>2</v>
      </c>
      <c r="K34" s="72">
        <v>2</v>
      </c>
      <c r="L34" s="72">
        <f t="shared" si="0"/>
        <v>-2.5829467668</v>
      </c>
      <c r="M34" s="73" t="s">
        <v>33</v>
      </c>
      <c r="O34" s="56">
        <f>2.18+2.99</f>
        <v>5.17</v>
      </c>
    </row>
    <row r="35" ht="26" customHeight="1" spans="1:15">
      <c r="A35" s="79" t="s">
        <v>64</v>
      </c>
      <c r="B35" s="36" t="s">
        <v>65</v>
      </c>
      <c r="C35" s="74"/>
      <c r="D35" s="74"/>
      <c r="E35" s="75"/>
      <c r="F35" s="72"/>
      <c r="G35" s="72">
        <v>5.24765</v>
      </c>
      <c r="H35" s="72">
        <f t="shared" si="4"/>
        <v>5.24765</v>
      </c>
      <c r="I35" s="75">
        <v>0</v>
      </c>
      <c r="J35" s="72">
        <f t="shared" si="5"/>
        <v>3.80143159936</v>
      </c>
      <c r="K35" s="72">
        <f>(100*0.015+(500-100)*0.008+(K24-500)*0.0045)*0.8</f>
        <v>3.80143159936</v>
      </c>
      <c r="L35" s="72">
        <f t="shared" si="0"/>
        <v>-1.44621840064</v>
      </c>
      <c r="M35" s="73"/>
      <c r="O35" s="56">
        <v>2.183</v>
      </c>
    </row>
    <row r="36" ht="32" customHeight="1" spans="1:13">
      <c r="A36" s="79" t="s">
        <v>66</v>
      </c>
      <c r="B36" s="36" t="s">
        <v>67</v>
      </c>
      <c r="C36" s="74"/>
      <c r="D36" s="74"/>
      <c r="E36" s="75"/>
      <c r="F36" s="72"/>
      <c r="G36" s="72">
        <v>2.5056</v>
      </c>
      <c r="H36" s="72">
        <f t="shared" si="4"/>
        <v>2.5056</v>
      </c>
      <c r="I36" s="75">
        <v>0</v>
      </c>
      <c r="J36" s="72">
        <f t="shared" si="5"/>
        <v>0</v>
      </c>
      <c r="K36" s="72">
        <v>0</v>
      </c>
      <c r="L36" s="72">
        <f t="shared" si="0"/>
        <v>-2.5056</v>
      </c>
      <c r="M36" s="73" t="s">
        <v>40</v>
      </c>
    </row>
    <row r="37" ht="20" customHeight="1" spans="1:13">
      <c r="A37" s="76">
        <v>13</v>
      </c>
      <c r="B37" s="71" t="s">
        <v>68</v>
      </c>
      <c r="C37" s="62"/>
      <c r="D37" s="62"/>
      <c r="E37" s="68">
        <f>SUM(E38:E42)</f>
        <v>25.75</v>
      </c>
      <c r="F37" s="72">
        <v>135.53998</v>
      </c>
      <c r="G37" s="63">
        <v>161.28998</v>
      </c>
      <c r="H37" s="63">
        <f t="shared" si="4"/>
        <v>161.28998</v>
      </c>
      <c r="I37" s="68">
        <f>SUM(I38:I42)</f>
        <v>25.75</v>
      </c>
      <c r="J37" s="63">
        <f t="shared" si="5"/>
        <v>79.75103</v>
      </c>
      <c r="K37" s="63">
        <f>K38+K39+K40+K41+K42</f>
        <v>105.50103</v>
      </c>
      <c r="L37" s="72">
        <f t="shared" si="0"/>
        <v>-55.78895</v>
      </c>
      <c r="M37" s="73" t="s">
        <v>69</v>
      </c>
    </row>
    <row r="38" ht="28" customHeight="1" spans="1:13">
      <c r="A38" s="79" t="s">
        <v>70</v>
      </c>
      <c r="B38" s="73" t="s">
        <v>71</v>
      </c>
      <c r="C38" s="74"/>
      <c r="D38" s="86"/>
      <c r="E38" s="70">
        <v>9.75</v>
      </c>
      <c r="F38" s="72">
        <v>42.76</v>
      </c>
      <c r="G38" s="72">
        <v>52.51</v>
      </c>
      <c r="H38" s="72">
        <f t="shared" si="4"/>
        <v>52.51</v>
      </c>
      <c r="I38" s="70">
        <v>9.75</v>
      </c>
      <c r="J38" s="72">
        <f t="shared" si="5"/>
        <v>26.11</v>
      </c>
      <c r="K38" s="72">
        <f>ROUND((52+(72-52)*(K5-10000)/10000),2)*0.5</f>
        <v>35.86</v>
      </c>
      <c r="L38" s="72">
        <f t="shared" si="0"/>
        <v>-16.65</v>
      </c>
      <c r="M38" s="73"/>
    </row>
    <row r="39" ht="27" customHeight="1" spans="1:13">
      <c r="A39" s="79" t="s">
        <v>72</v>
      </c>
      <c r="B39" s="73" t="s">
        <v>73</v>
      </c>
      <c r="C39" s="74"/>
      <c r="D39" s="74"/>
      <c r="E39" s="75">
        <v>9.75</v>
      </c>
      <c r="F39" s="72">
        <v>66.26</v>
      </c>
      <c r="G39" s="72">
        <v>76.01</v>
      </c>
      <c r="H39" s="72">
        <f t="shared" si="4"/>
        <v>76.01</v>
      </c>
      <c r="I39" s="75">
        <v>9.75</v>
      </c>
      <c r="J39" s="72">
        <f t="shared" si="5"/>
        <v>35.045</v>
      </c>
      <c r="K39" s="72">
        <f>ROUND((60+(90-60)*(K5-10000)/10000),2)*0.5</f>
        <v>44.795</v>
      </c>
      <c r="L39" s="72">
        <f t="shared" ref="L38:L66" si="6">K39-H39</f>
        <v>-31.215</v>
      </c>
      <c r="M39" s="73"/>
    </row>
    <row r="40" ht="27" customHeight="1" spans="1:13">
      <c r="A40" s="79" t="s">
        <v>74</v>
      </c>
      <c r="B40" s="73" t="s">
        <v>75</v>
      </c>
      <c r="C40" s="74"/>
      <c r="D40" s="74"/>
      <c r="E40" s="75">
        <v>3.25</v>
      </c>
      <c r="F40" s="72">
        <v>15.65</v>
      </c>
      <c r="G40" s="72">
        <v>18.9</v>
      </c>
      <c r="H40" s="72">
        <f t="shared" si="4"/>
        <v>18.9</v>
      </c>
      <c r="I40" s="75">
        <v>3.25</v>
      </c>
      <c r="J40" s="72">
        <f t="shared" si="5"/>
        <v>11.665</v>
      </c>
      <c r="K40" s="72">
        <f>ROUND((18+(30-18)*(K5-10000)/10000),2)*0.5</f>
        <v>14.915</v>
      </c>
      <c r="L40" s="72">
        <f t="shared" si="6"/>
        <v>-3.985</v>
      </c>
      <c r="M40" s="73"/>
    </row>
    <row r="41" ht="25" customHeight="1" spans="1:13">
      <c r="A41" s="79" t="s">
        <v>76</v>
      </c>
      <c r="B41" s="73" t="s">
        <v>77</v>
      </c>
      <c r="C41" s="74"/>
      <c r="D41" s="74"/>
      <c r="E41" s="75"/>
      <c r="F41" s="72">
        <v>1.31</v>
      </c>
      <c r="G41" s="72">
        <v>1.31</v>
      </c>
      <c r="H41" s="72">
        <f t="shared" si="4"/>
        <v>1.31</v>
      </c>
      <c r="I41" s="75">
        <v>0</v>
      </c>
      <c r="J41" s="72">
        <f t="shared" si="5"/>
        <v>0</v>
      </c>
      <c r="K41" s="72">
        <v>0</v>
      </c>
      <c r="L41" s="72">
        <f t="shared" si="6"/>
        <v>-1.31</v>
      </c>
      <c r="M41" s="73" t="s">
        <v>40</v>
      </c>
    </row>
    <row r="42" ht="25" customHeight="1" spans="1:18">
      <c r="A42" s="79" t="s">
        <v>78</v>
      </c>
      <c r="B42" s="73" t="s">
        <v>79</v>
      </c>
      <c r="C42" s="74"/>
      <c r="D42" s="74"/>
      <c r="E42" s="75">
        <v>3</v>
      </c>
      <c r="F42" s="72">
        <v>9.55998</v>
      </c>
      <c r="G42" s="72">
        <v>12.55998</v>
      </c>
      <c r="H42" s="72">
        <f t="shared" si="4"/>
        <v>12.55998</v>
      </c>
      <c r="I42" s="75">
        <v>3</v>
      </c>
      <c r="J42" s="72">
        <f t="shared" si="5"/>
        <v>6.93103</v>
      </c>
      <c r="K42" s="72">
        <f>K5*0.05%</f>
        <v>9.93103</v>
      </c>
      <c r="L42" s="72">
        <f t="shared" si="6"/>
        <v>-2.62895</v>
      </c>
      <c r="M42" s="73" t="s">
        <v>80</v>
      </c>
      <c r="N42" s="102"/>
      <c r="P42" s="56">
        <v>2200</v>
      </c>
      <c r="Q42" s="52">
        <v>900</v>
      </c>
      <c r="R42" s="56">
        <v>1314</v>
      </c>
    </row>
    <row r="43" s="49" customFormat="1" ht="20" customHeight="1" spans="1:20">
      <c r="A43" s="76">
        <v>14</v>
      </c>
      <c r="B43" s="71" t="s">
        <v>81</v>
      </c>
      <c r="C43" s="62"/>
      <c r="D43" s="62"/>
      <c r="E43" s="68">
        <v>16.24</v>
      </c>
      <c r="F43" s="72">
        <v>134.47976</v>
      </c>
      <c r="G43" s="63">
        <v>150.71976</v>
      </c>
      <c r="H43" s="63">
        <v>129.30192</v>
      </c>
      <c r="I43" s="68">
        <v>16.24</v>
      </c>
      <c r="J43" s="63">
        <f t="shared" si="5"/>
        <v>83.0703</v>
      </c>
      <c r="K43" s="63">
        <f>K5*0.5%</f>
        <v>99.3103</v>
      </c>
      <c r="L43" s="72">
        <f t="shared" si="6"/>
        <v>-29.99162</v>
      </c>
      <c r="M43" s="71" t="s">
        <v>82</v>
      </c>
      <c r="N43" s="52"/>
      <c r="O43" s="52"/>
      <c r="P43" s="49">
        <v>1766.36</v>
      </c>
      <c r="Q43" s="52">
        <v>4511.376</v>
      </c>
      <c r="R43" s="52">
        <v>313.368</v>
      </c>
      <c r="S43" s="52">
        <v>1011.65</v>
      </c>
      <c r="T43" s="52">
        <v>4326.8</v>
      </c>
    </row>
    <row r="44" s="49" customFormat="1" ht="20" customHeight="1" spans="1:20">
      <c r="A44" s="76">
        <v>15</v>
      </c>
      <c r="B44" s="71" t="s">
        <v>83</v>
      </c>
      <c r="C44" s="62"/>
      <c r="D44" s="62"/>
      <c r="E44" s="68">
        <v>9.75</v>
      </c>
      <c r="F44" s="72">
        <v>90.72984</v>
      </c>
      <c r="G44" s="63">
        <v>100.47984</v>
      </c>
      <c r="H44" s="63">
        <v>86.20128</v>
      </c>
      <c r="I44" s="68">
        <v>9.75</v>
      </c>
      <c r="J44" s="63">
        <f t="shared" si="5"/>
        <v>59.76721</v>
      </c>
      <c r="K44" s="63">
        <f>K5*0.35%</f>
        <v>69.51721</v>
      </c>
      <c r="L44" s="72">
        <f t="shared" si="6"/>
        <v>-16.68407</v>
      </c>
      <c r="M44" s="71" t="s">
        <v>84</v>
      </c>
      <c r="N44" s="52"/>
      <c r="O44" s="52"/>
      <c r="P44" s="52">
        <v>2226.06</v>
      </c>
      <c r="Q44" s="52">
        <v>1979.7</v>
      </c>
      <c r="R44" s="52">
        <v>420</v>
      </c>
      <c r="S44" s="52">
        <v>142.153</v>
      </c>
      <c r="T44" s="52">
        <v>262.64</v>
      </c>
    </row>
    <row r="45" s="52" customFormat="1" ht="28" customHeight="1" spans="1:20">
      <c r="A45" s="76">
        <v>16</v>
      </c>
      <c r="B45" s="71" t="s">
        <v>85</v>
      </c>
      <c r="C45" s="71"/>
      <c r="D45" s="71"/>
      <c r="E45" s="68">
        <v>4.68</v>
      </c>
      <c r="F45" s="72">
        <v>6.34</v>
      </c>
      <c r="G45" s="60">
        <v>11.02</v>
      </c>
      <c r="H45" s="60">
        <v>10.31</v>
      </c>
      <c r="I45" s="68">
        <v>4.68</v>
      </c>
      <c r="J45" s="63">
        <f t="shared" si="5"/>
        <v>-4.68</v>
      </c>
      <c r="K45" s="60">
        <v>0</v>
      </c>
      <c r="L45" s="72">
        <f t="shared" si="6"/>
        <v>-10.31</v>
      </c>
      <c r="M45" s="71" t="s">
        <v>40</v>
      </c>
      <c r="N45" s="113"/>
      <c r="P45" s="52">
        <v>66.64</v>
      </c>
      <c r="Q45" s="52">
        <v>789.12</v>
      </c>
      <c r="R45" s="52">
        <v>2587.2</v>
      </c>
      <c r="S45" s="52">
        <v>1520.52</v>
      </c>
      <c r="T45" s="52">
        <v>4780.62</v>
      </c>
    </row>
    <row r="46" s="52" customFormat="1" ht="24" customHeight="1" spans="1:17">
      <c r="A46" s="76">
        <v>17</v>
      </c>
      <c r="B46" s="71" t="s">
        <v>86</v>
      </c>
      <c r="C46" s="71"/>
      <c r="D46" s="71"/>
      <c r="E46" s="78">
        <v>22.74</v>
      </c>
      <c r="F46" s="72">
        <v>153.09972</v>
      </c>
      <c r="G46" s="60">
        <v>175.83972</v>
      </c>
      <c r="H46" s="60">
        <v>150.85224</v>
      </c>
      <c r="I46" s="78">
        <v>22.74</v>
      </c>
      <c r="J46" s="63">
        <f t="shared" si="5"/>
        <v>116.29442</v>
      </c>
      <c r="K46" s="60">
        <f>K5*0.7%</f>
        <v>139.03442</v>
      </c>
      <c r="L46" s="72">
        <f t="shared" si="6"/>
        <v>-11.81782</v>
      </c>
      <c r="M46" s="71" t="s">
        <v>87</v>
      </c>
      <c r="N46" s="113"/>
      <c r="P46" s="52">
        <v>4477.83</v>
      </c>
      <c r="Q46" s="52">
        <v>824.11</v>
      </c>
    </row>
    <row r="47" s="52" customFormat="1" ht="24" customHeight="1" spans="1:14">
      <c r="A47" s="76">
        <v>18</v>
      </c>
      <c r="B47" s="71" t="s">
        <v>88</v>
      </c>
      <c r="C47" s="71"/>
      <c r="D47" s="71"/>
      <c r="E47" s="78"/>
      <c r="F47" s="72">
        <v>50</v>
      </c>
      <c r="G47" s="60">
        <v>50</v>
      </c>
      <c r="H47" s="60">
        <v>50</v>
      </c>
      <c r="I47" s="78"/>
      <c r="J47" s="63">
        <f t="shared" si="5"/>
        <v>10</v>
      </c>
      <c r="K47" s="60">
        <v>10</v>
      </c>
      <c r="L47" s="72">
        <f t="shared" si="6"/>
        <v>-40</v>
      </c>
      <c r="M47" s="71" t="s">
        <v>80</v>
      </c>
      <c r="N47" s="113"/>
    </row>
    <row r="48" s="52" customFormat="1" ht="24" customHeight="1" spans="1:14">
      <c r="A48" s="76">
        <v>19</v>
      </c>
      <c r="B48" s="71" t="s">
        <v>89</v>
      </c>
      <c r="C48" s="71"/>
      <c r="D48" s="71"/>
      <c r="E48" s="78"/>
      <c r="F48" s="72">
        <v>3.62</v>
      </c>
      <c r="G48" s="60">
        <v>3.62</v>
      </c>
      <c r="H48" s="60">
        <v>3.62</v>
      </c>
      <c r="I48" s="78"/>
      <c r="J48" s="63">
        <f t="shared" si="5"/>
        <v>3.62</v>
      </c>
      <c r="K48" s="60">
        <v>3.62</v>
      </c>
      <c r="L48" s="72">
        <f t="shared" si="6"/>
        <v>0</v>
      </c>
      <c r="M48" s="71" t="s">
        <v>80</v>
      </c>
      <c r="N48" s="113"/>
    </row>
    <row r="49" s="52" customFormat="1" ht="24" customHeight="1" spans="1:15">
      <c r="A49" s="76">
        <v>20</v>
      </c>
      <c r="B49" s="71" t="s">
        <v>90</v>
      </c>
      <c r="C49" s="71"/>
      <c r="D49" s="71"/>
      <c r="E49" s="78"/>
      <c r="F49" s="72">
        <v>50</v>
      </c>
      <c r="G49" s="60">
        <v>50</v>
      </c>
      <c r="H49" s="60">
        <v>50</v>
      </c>
      <c r="I49" s="78"/>
      <c r="J49" s="63">
        <f t="shared" si="5"/>
        <v>5.381</v>
      </c>
      <c r="K49" s="60">
        <f>107.62*5%</f>
        <v>5.381</v>
      </c>
      <c r="L49" s="72">
        <f t="shared" si="6"/>
        <v>-44.619</v>
      </c>
      <c r="M49" s="71" t="s">
        <v>91</v>
      </c>
      <c r="N49" s="113"/>
      <c r="O49" s="113" t="s">
        <v>92</v>
      </c>
    </row>
    <row r="50" s="52" customFormat="1" ht="24" customHeight="1" spans="1:15">
      <c r="A50" s="76">
        <v>21</v>
      </c>
      <c r="B50" s="71" t="s">
        <v>93</v>
      </c>
      <c r="C50" s="71"/>
      <c r="D50" s="71"/>
      <c r="E50" s="78"/>
      <c r="F50" s="72">
        <v>25</v>
      </c>
      <c r="G50" s="60">
        <v>25</v>
      </c>
      <c r="H50" s="60">
        <v>25</v>
      </c>
      <c r="I50" s="78"/>
      <c r="J50" s="63">
        <f t="shared" si="5"/>
        <v>0</v>
      </c>
      <c r="K50" s="60">
        <v>0</v>
      </c>
      <c r="L50" s="72">
        <f t="shared" si="6"/>
        <v>-25</v>
      </c>
      <c r="M50" s="71" t="s">
        <v>40</v>
      </c>
      <c r="N50" s="113"/>
      <c r="O50" s="113"/>
    </row>
    <row r="51" s="52" customFormat="1" ht="28" customHeight="1" spans="1:14">
      <c r="A51" s="76">
        <v>22</v>
      </c>
      <c r="B51" s="81" t="s">
        <v>94</v>
      </c>
      <c r="C51" s="71"/>
      <c r="D51" s="71"/>
      <c r="E51" s="68"/>
      <c r="F51" s="72">
        <v>300</v>
      </c>
      <c r="G51" s="60">
        <v>300</v>
      </c>
      <c r="H51" s="60">
        <v>300</v>
      </c>
      <c r="I51" s="68"/>
      <c r="J51" s="68">
        <v>300</v>
      </c>
      <c r="K51" s="60">
        <v>300</v>
      </c>
      <c r="L51" s="72">
        <f t="shared" si="6"/>
        <v>0</v>
      </c>
      <c r="M51" s="71" t="s">
        <v>80</v>
      </c>
      <c r="N51" s="113">
        <v>550</v>
      </c>
    </row>
    <row r="52" s="53" customFormat="1" ht="27" customHeight="1" spans="1:14">
      <c r="A52" s="76">
        <v>23</v>
      </c>
      <c r="B52" s="81" t="s">
        <v>95</v>
      </c>
      <c r="C52" s="81"/>
      <c r="D52" s="81"/>
      <c r="E52" s="78"/>
      <c r="F52" s="72">
        <v>45</v>
      </c>
      <c r="G52" s="78">
        <v>45</v>
      </c>
      <c r="H52" s="78">
        <v>28</v>
      </c>
      <c r="I52" s="78"/>
      <c r="J52" s="68">
        <f t="shared" ref="J52:J55" si="7">K52-I52</f>
        <v>28</v>
      </c>
      <c r="K52" s="78">
        <v>28</v>
      </c>
      <c r="L52" s="72">
        <f t="shared" si="6"/>
        <v>0</v>
      </c>
      <c r="M52" s="81" t="s">
        <v>80</v>
      </c>
      <c r="N52" s="107"/>
    </row>
    <row r="53" s="52" customFormat="1" ht="27" customHeight="1" spans="1:14">
      <c r="A53" s="76">
        <v>24</v>
      </c>
      <c r="B53" s="71" t="s">
        <v>96</v>
      </c>
      <c r="C53" s="71"/>
      <c r="D53" s="71"/>
      <c r="E53" s="68"/>
      <c r="F53" s="72">
        <v>11.35</v>
      </c>
      <c r="G53" s="60">
        <v>11.35</v>
      </c>
      <c r="H53" s="60">
        <v>11.35</v>
      </c>
      <c r="I53" s="68"/>
      <c r="J53" s="68">
        <f t="shared" si="7"/>
        <v>11.35</v>
      </c>
      <c r="K53" s="60">
        <v>11.35</v>
      </c>
      <c r="L53" s="72">
        <f t="shared" si="6"/>
        <v>0</v>
      </c>
      <c r="M53" s="81" t="s">
        <v>80</v>
      </c>
      <c r="N53" s="113"/>
    </row>
    <row r="54" s="52" customFormat="1" ht="27" customHeight="1" spans="1:14">
      <c r="A54" s="76">
        <v>25</v>
      </c>
      <c r="B54" s="71" t="s">
        <v>97</v>
      </c>
      <c r="C54" s="71"/>
      <c r="D54" s="71"/>
      <c r="E54" s="68"/>
      <c r="F54" s="72">
        <v>29.8</v>
      </c>
      <c r="G54" s="60">
        <v>29.8</v>
      </c>
      <c r="H54" s="60">
        <v>29.8</v>
      </c>
      <c r="I54" s="68"/>
      <c r="J54" s="68">
        <f t="shared" si="7"/>
        <v>18</v>
      </c>
      <c r="K54" s="60">
        <v>18</v>
      </c>
      <c r="L54" s="72">
        <f t="shared" si="6"/>
        <v>-11.8</v>
      </c>
      <c r="M54" s="81" t="s">
        <v>98</v>
      </c>
      <c r="N54" s="113"/>
    </row>
    <row r="55" s="52" customFormat="1" ht="27" customHeight="1" spans="1:14">
      <c r="A55" s="76">
        <v>26</v>
      </c>
      <c r="B55" s="71" t="s">
        <v>99</v>
      </c>
      <c r="C55" s="71"/>
      <c r="D55" s="71"/>
      <c r="E55" s="68"/>
      <c r="F55" s="72">
        <v>8</v>
      </c>
      <c r="G55" s="60">
        <v>8</v>
      </c>
      <c r="H55" s="60">
        <v>8</v>
      </c>
      <c r="I55" s="68"/>
      <c r="J55" s="68">
        <f t="shared" si="7"/>
        <v>7.4</v>
      </c>
      <c r="K55" s="60">
        <v>7.4</v>
      </c>
      <c r="L55" s="72">
        <f t="shared" si="6"/>
        <v>-0.6</v>
      </c>
      <c r="M55" s="81" t="s">
        <v>98</v>
      </c>
      <c r="N55" s="113"/>
    </row>
    <row r="56" s="52" customFormat="1" ht="27" customHeight="1" spans="1:14">
      <c r="A56" s="76">
        <v>27</v>
      </c>
      <c r="B56" s="71" t="s">
        <v>100</v>
      </c>
      <c r="C56" s="71"/>
      <c r="D56" s="71"/>
      <c r="E56" s="68"/>
      <c r="F56" s="72">
        <f t="shared" ref="F56:F61" si="8">G56-E56</f>
        <v>150</v>
      </c>
      <c r="G56" s="60">
        <v>150</v>
      </c>
      <c r="H56" s="60">
        <v>150</v>
      </c>
      <c r="I56" s="68"/>
      <c r="J56" s="68">
        <v>150</v>
      </c>
      <c r="K56" s="60">
        <f>J56</f>
        <v>150</v>
      </c>
      <c r="L56" s="72">
        <f t="shared" si="6"/>
        <v>0</v>
      </c>
      <c r="M56" s="71" t="s">
        <v>80</v>
      </c>
      <c r="N56" s="113"/>
    </row>
    <row r="57" s="52" customFormat="1" ht="27" customHeight="1" spans="1:14">
      <c r="A57" s="76">
        <v>28</v>
      </c>
      <c r="B57" s="71" t="s">
        <v>101</v>
      </c>
      <c r="C57" s="71"/>
      <c r="D57" s="71"/>
      <c r="E57" s="68"/>
      <c r="F57" s="72">
        <f t="shared" si="8"/>
        <v>0</v>
      </c>
      <c r="G57" s="60">
        <v>0</v>
      </c>
      <c r="H57" s="60">
        <v>0</v>
      </c>
      <c r="I57" s="68"/>
      <c r="J57" s="68">
        <f t="shared" ref="J57:J61" si="9">K57-I57</f>
        <v>39.490995</v>
      </c>
      <c r="K57" s="60">
        <f>K67*0.25%*0.6</f>
        <v>39.490995</v>
      </c>
      <c r="L57" s="72">
        <f t="shared" si="6"/>
        <v>39.490995</v>
      </c>
      <c r="M57" s="71" t="s">
        <v>102</v>
      </c>
      <c r="N57" s="113"/>
    </row>
    <row r="58" s="52" customFormat="1" ht="27" customHeight="1" spans="1:14">
      <c r="A58" s="76">
        <v>29</v>
      </c>
      <c r="B58" s="71" t="s">
        <v>103</v>
      </c>
      <c r="C58" s="71"/>
      <c r="D58" s="71"/>
      <c r="E58" s="68"/>
      <c r="F58" s="72">
        <f t="shared" si="8"/>
        <v>0</v>
      </c>
      <c r="G58" s="60">
        <v>0</v>
      </c>
      <c r="H58" s="60">
        <v>0</v>
      </c>
      <c r="I58" s="68"/>
      <c r="J58" s="68">
        <f t="shared" si="9"/>
        <v>52.65466</v>
      </c>
      <c r="K58" s="60">
        <f>K67*0.25%*0.8</f>
        <v>52.65466</v>
      </c>
      <c r="L58" s="72">
        <f t="shared" si="6"/>
        <v>52.65466</v>
      </c>
      <c r="M58" s="71" t="s">
        <v>104</v>
      </c>
      <c r="N58" s="113"/>
    </row>
    <row r="59" s="52" customFormat="1" ht="27" customHeight="1" spans="1:15">
      <c r="A59" s="76">
        <v>30</v>
      </c>
      <c r="B59" s="71" t="s">
        <v>105</v>
      </c>
      <c r="C59" s="71"/>
      <c r="D59" s="71"/>
      <c r="E59" s="68">
        <v>0</v>
      </c>
      <c r="F59" s="72">
        <f t="shared" si="8"/>
        <v>100</v>
      </c>
      <c r="G59" s="60">
        <v>100</v>
      </c>
      <c r="H59" s="60">
        <v>100</v>
      </c>
      <c r="I59" s="68">
        <v>0</v>
      </c>
      <c r="J59" s="68">
        <f t="shared" si="9"/>
        <v>0</v>
      </c>
      <c r="K59" s="60">
        <v>0</v>
      </c>
      <c r="L59" s="72">
        <f t="shared" si="6"/>
        <v>-100</v>
      </c>
      <c r="M59" s="71" t="s">
        <v>40</v>
      </c>
      <c r="N59" s="113"/>
      <c r="O59" s="52">
        <f>133852/250</f>
        <v>535.408</v>
      </c>
    </row>
    <row r="60" s="52" customFormat="1" ht="27" customHeight="1" spans="1:14">
      <c r="A60" s="76">
        <v>31</v>
      </c>
      <c r="B60" s="71" t="s">
        <v>106</v>
      </c>
      <c r="C60" s="71"/>
      <c r="D60" s="71"/>
      <c r="E60" s="63">
        <v>0</v>
      </c>
      <c r="F60" s="72">
        <f t="shared" si="8"/>
        <v>3</v>
      </c>
      <c r="G60" s="60">
        <v>3</v>
      </c>
      <c r="H60" s="60">
        <v>3</v>
      </c>
      <c r="I60" s="63">
        <v>0</v>
      </c>
      <c r="J60" s="68">
        <f t="shared" si="9"/>
        <v>0</v>
      </c>
      <c r="K60" s="60">
        <v>0</v>
      </c>
      <c r="L60" s="72">
        <f t="shared" si="6"/>
        <v>-3</v>
      </c>
      <c r="M60" s="71" t="s">
        <v>40</v>
      </c>
      <c r="N60" s="113"/>
    </row>
    <row r="61" s="52" customFormat="1" ht="27" customHeight="1" spans="1:14">
      <c r="A61" s="76">
        <v>32</v>
      </c>
      <c r="B61" s="71" t="s">
        <v>107</v>
      </c>
      <c r="C61" s="71"/>
      <c r="D61" s="71"/>
      <c r="E61" s="68">
        <v>5</v>
      </c>
      <c r="F61" s="72">
        <f t="shared" si="8"/>
        <v>30</v>
      </c>
      <c r="G61" s="60">
        <v>35</v>
      </c>
      <c r="H61" s="60">
        <f>G61</f>
        <v>35</v>
      </c>
      <c r="I61" s="68">
        <v>5</v>
      </c>
      <c r="J61" s="68">
        <f t="shared" si="9"/>
        <v>30</v>
      </c>
      <c r="K61" s="60">
        <v>35</v>
      </c>
      <c r="L61" s="72">
        <f t="shared" si="6"/>
        <v>0</v>
      </c>
      <c r="M61" s="71" t="s">
        <v>80</v>
      </c>
      <c r="N61" s="113"/>
    </row>
    <row r="62" ht="21" customHeight="1" spans="1:13">
      <c r="A62" s="59" t="s">
        <v>108</v>
      </c>
      <c r="B62" s="62" t="s">
        <v>109</v>
      </c>
      <c r="C62" s="62"/>
      <c r="D62" s="62"/>
      <c r="E62" s="63"/>
      <c r="F62" s="64"/>
      <c r="G62" s="63">
        <f>G63</f>
        <v>1571.61327278504</v>
      </c>
      <c r="H62" s="63">
        <f>G62</f>
        <v>1571.61327278504</v>
      </c>
      <c r="I62" s="63"/>
      <c r="J62" s="64"/>
      <c r="K62" s="63">
        <f>K63</f>
        <v>1122.89</v>
      </c>
      <c r="L62" s="72">
        <f t="shared" si="6"/>
        <v>-448.72327278504</v>
      </c>
      <c r="M62" s="104"/>
    </row>
    <row r="63" ht="21" customHeight="1" spans="1:13">
      <c r="A63" s="87">
        <v>1</v>
      </c>
      <c r="B63" s="73" t="s">
        <v>110</v>
      </c>
      <c r="C63" s="74"/>
      <c r="D63" s="74"/>
      <c r="E63" s="72"/>
      <c r="F63" s="88"/>
      <c r="G63" s="63">
        <f>(H5+H9)*5%</f>
        <v>1571.61327278504</v>
      </c>
      <c r="H63" s="63">
        <f>G63</f>
        <v>1571.61327278504</v>
      </c>
      <c r="I63" s="72"/>
      <c r="J63" s="88"/>
      <c r="K63" s="63">
        <f>ROUND((K5+K9-K10)*5%,2)</f>
        <v>1122.89</v>
      </c>
      <c r="L63" s="72">
        <f t="shared" si="6"/>
        <v>-448.72327278504</v>
      </c>
      <c r="M63" s="73" t="s">
        <v>111</v>
      </c>
    </row>
    <row r="64" ht="24" customHeight="1" spans="1:16">
      <c r="A64" s="89" t="s">
        <v>112</v>
      </c>
      <c r="B64" s="90" t="s">
        <v>113</v>
      </c>
      <c r="C64" s="91"/>
      <c r="D64" s="91"/>
      <c r="E64" s="92"/>
      <c r="F64" s="93"/>
      <c r="G64" s="92">
        <f>H5+H9+H62</f>
        <v>33003.8787284858</v>
      </c>
      <c r="H64" s="92">
        <f>G64</f>
        <v>33003.8787284858</v>
      </c>
      <c r="I64" s="92"/>
      <c r="J64" s="93"/>
      <c r="K64" s="92">
        <f>ROUND(K5+K9+K62,2)</f>
        <v>26327.33</v>
      </c>
      <c r="L64" s="72">
        <f t="shared" si="6"/>
        <v>-6676.54872848585</v>
      </c>
      <c r="M64" s="114"/>
      <c r="O64" s="56">
        <v>26267.15</v>
      </c>
      <c r="P64" s="56">
        <f>K64-O64</f>
        <v>60.1800000000003</v>
      </c>
    </row>
    <row r="65" ht="26" hidden="1" customHeight="1" spans="1:14">
      <c r="A65" s="26" t="s">
        <v>114</v>
      </c>
      <c r="B65" s="27" t="s">
        <v>115</v>
      </c>
      <c r="C65" s="25"/>
      <c r="D65" s="25"/>
      <c r="E65" s="28"/>
      <c r="F65" s="116"/>
      <c r="G65" s="28"/>
      <c r="H65" s="28"/>
      <c r="I65" s="28"/>
      <c r="J65" s="116"/>
      <c r="K65" s="28"/>
      <c r="L65" s="28"/>
      <c r="M65" s="29" t="s">
        <v>116</v>
      </c>
      <c r="N65" s="109"/>
    </row>
    <row r="66" ht="17.25" hidden="1" customHeight="1" spans="1:13">
      <c r="A66" s="26" t="s">
        <v>117</v>
      </c>
      <c r="B66" s="27" t="s">
        <v>118</v>
      </c>
      <c r="C66" s="25"/>
      <c r="D66" s="25"/>
      <c r="E66" s="28"/>
      <c r="F66" s="116"/>
      <c r="G66" s="28"/>
      <c r="H66" s="28">
        <f>H64+H65-0.01</f>
        <v>33003.8687284858</v>
      </c>
      <c r="I66" s="28"/>
      <c r="J66" s="116"/>
      <c r="K66" s="28"/>
      <c r="L66" s="28"/>
      <c r="M66" s="29"/>
    </row>
    <row r="67" ht="17.25" hidden="1" customHeight="1" spans="1:13">
      <c r="A67" s="117"/>
      <c r="B67" s="118"/>
      <c r="C67" s="118"/>
      <c r="D67" s="118"/>
      <c r="E67" s="119"/>
      <c r="F67" s="120"/>
      <c r="G67" s="121"/>
      <c r="H67" s="121"/>
      <c r="I67" s="119"/>
      <c r="J67" s="120"/>
      <c r="K67" s="121">
        <v>26327.33</v>
      </c>
      <c r="L67" s="121"/>
      <c r="M67" s="131"/>
    </row>
    <row r="68" ht="17.25" hidden="1" customHeight="1" spans="1:13">
      <c r="A68" s="117"/>
      <c r="B68" s="118"/>
      <c r="C68" s="118"/>
      <c r="D68" s="118"/>
      <c r="E68" s="119"/>
      <c r="F68" s="120"/>
      <c r="G68" s="121"/>
      <c r="H68" s="121"/>
      <c r="I68" s="119"/>
      <c r="J68" s="120"/>
      <c r="K68" s="121"/>
      <c r="L68" s="121"/>
      <c r="M68" s="131"/>
    </row>
    <row r="69" ht="23.45" hidden="1" customHeight="1" spans="14:15">
      <c r="N69" s="56">
        <f>3.9*1.1</f>
        <v>4.29</v>
      </c>
      <c r="O69" s="56">
        <f>H64/10000/N69</f>
        <v>0.769321182482188</v>
      </c>
    </row>
    <row r="70" ht="15" hidden="1" customHeight="1"/>
    <row r="71" ht="20.25" hidden="1" customHeight="1" spans="1:14">
      <c r="A71" s="122"/>
      <c r="N71" s="56">
        <f>L64/H64*100</f>
        <v>-20.2295881142094</v>
      </c>
    </row>
    <row r="72" ht="18.75" hidden="1" customHeight="1" spans="1:1">
      <c r="A72" s="123"/>
    </row>
    <row r="73" ht="15" hidden="1" customHeight="1" spans="1:12">
      <c r="A73" s="124"/>
      <c r="I73" s="55">
        <f>K64</f>
        <v>26327.33</v>
      </c>
      <c r="J73" s="20">
        <v>39004.42</v>
      </c>
      <c r="K73">
        <f>I73-J73</f>
        <v>-12677.09</v>
      </c>
      <c r="L73">
        <f>K73/J73*100</f>
        <v>-32.5016754511412</v>
      </c>
    </row>
    <row r="74" ht="18.75" hidden="1" customHeight="1" spans="1:12">
      <c r="A74" s="125"/>
      <c r="I74" s="55">
        <f>K5</f>
        <v>19862.06</v>
      </c>
      <c r="J74" s="20">
        <v>29279.34</v>
      </c>
      <c r="K74">
        <f>I74-J74</f>
        <v>-9417.28</v>
      </c>
      <c r="L74">
        <f>K74/J74*100</f>
        <v>-32.1635665284805</v>
      </c>
    </row>
    <row r="75" ht="15" hidden="1" customHeight="1" spans="1:12">
      <c r="A75" s="126"/>
      <c r="I75" s="55">
        <f>K9</f>
        <v>5342.38</v>
      </c>
      <c r="J75" s="20">
        <v>6918.04</v>
      </c>
      <c r="K75">
        <f>I75-J75</f>
        <v>-1575.66</v>
      </c>
      <c r="L75">
        <f>K75/J75*100</f>
        <v>-22.7761042144885</v>
      </c>
    </row>
    <row r="76" ht="18.75" hidden="1" customHeight="1" spans="1:12">
      <c r="A76" s="125"/>
      <c r="I76" s="55">
        <f>K62</f>
        <v>1122.89</v>
      </c>
      <c r="J76" s="20">
        <v>2807.04</v>
      </c>
      <c r="K76">
        <f>I76-J76</f>
        <v>-1684.15</v>
      </c>
      <c r="L76">
        <f>K76/J76*100</f>
        <v>-59.9973637710898</v>
      </c>
    </row>
    <row r="77" ht="18.75" customHeight="1" spans="1:1">
      <c r="A77" s="126"/>
    </row>
    <row r="78" ht="18.75" customHeight="1" spans="1:1">
      <c r="A78" s="126"/>
    </row>
    <row r="79" ht="18.75" customHeight="1" spans="1:1">
      <c r="A79" s="125"/>
    </row>
    <row r="80" ht="18.75" customHeight="1" spans="1:1">
      <c r="A80" s="126"/>
    </row>
    <row r="81" ht="20.25" customHeight="1" spans="1:1">
      <c r="A81" s="127"/>
    </row>
    <row r="82" ht="22.5" customHeight="1" spans="1:1">
      <c r="A82" s="128"/>
    </row>
    <row r="83" ht="24.75" customHeight="1" spans="1:1">
      <c r="A83" s="129"/>
    </row>
    <row r="84" ht="24.75" customHeight="1" spans="1:1">
      <c r="A84" s="130"/>
    </row>
    <row r="85" ht="24.75" customHeight="1" spans="1:1">
      <c r="A85" s="127"/>
    </row>
    <row r="86" ht="24.75" customHeight="1" spans="1:1">
      <c r="A86" s="127"/>
    </row>
    <row r="87" ht="25.5" customHeight="1" spans="1:1">
      <c r="A87" s="127"/>
    </row>
    <row r="88" ht="20.25" customHeight="1" spans="1:1">
      <c r="A88" s="122"/>
    </row>
    <row r="89" ht="15" customHeight="1" spans="1:1">
      <c r="A89" s="124"/>
    </row>
    <row r="90" ht="15" customHeight="1" spans="1:1">
      <c r="A90" s="126"/>
    </row>
    <row r="91" ht="15" customHeight="1" spans="1:1">
      <c r="A91" s="126"/>
    </row>
    <row r="92" ht="15" customHeight="1" spans="1:1">
      <c r="A92" s="124"/>
    </row>
    <row r="93" ht="15" customHeight="1" spans="1:1">
      <c r="A93" s="126"/>
    </row>
    <row r="94" ht="15" customHeight="1" spans="1:1">
      <c r="A94" s="126"/>
    </row>
    <row r="95" ht="15" customHeight="1" spans="1:1">
      <c r="A95" s="127"/>
    </row>
  </sheetData>
  <mergeCells count="36">
    <mergeCell ref="A1:M1"/>
    <mergeCell ref="E2:G2"/>
    <mergeCell ref="I2:K2"/>
    <mergeCell ref="A71:B71"/>
    <mergeCell ref="A72:B72"/>
    <mergeCell ref="A73:G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95:M95"/>
    <mergeCell ref="A2:A4"/>
    <mergeCell ref="B2:B4"/>
    <mergeCell ref="C2:C3"/>
    <mergeCell ref="D2:D3"/>
    <mergeCell ref="H2:H3"/>
    <mergeCell ref="L2:L3"/>
    <mergeCell ref="M2:M3"/>
    <mergeCell ref="Q30:Q31"/>
  </mergeCells>
  <pageMargins left="0.472222222222222" right="0.393055555555556" top="0.550694444444444" bottom="0.590277777777778" header="0.298611111111111" footer="0.298611111111111"/>
  <pageSetup paperSize="9" scale="8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F5" sqref="F5"/>
    </sheetView>
  </sheetViews>
  <sheetFormatPr defaultColWidth="10.2833333333333" defaultRowHeight="14.25"/>
  <cols>
    <col min="1" max="1" width="7.5" customWidth="1"/>
    <col min="2" max="2" width="20" customWidth="1"/>
    <col min="3" max="3" width="12.5" customWidth="1"/>
    <col min="4" max="4" width="7.875" customWidth="1"/>
    <col min="5" max="5" width="11" customWidth="1"/>
    <col min="6" max="6" width="12.5" customWidth="1"/>
    <col min="7" max="7" width="6.875" customWidth="1"/>
    <col min="8" max="8" width="9.75" customWidth="1"/>
    <col min="9" max="9" width="9.75" style="20" customWidth="1"/>
    <col min="10" max="10" width="25.25" customWidth="1"/>
    <col min="11" max="11" width="33.25" customWidth="1"/>
    <col min="12" max="12" width="12.5" customWidth="1"/>
    <col min="13" max="13" width="12.625"/>
    <col min="14" max="14" width="15" customWidth="1"/>
  </cols>
  <sheetData>
    <row r="1" ht="17.25" customHeight="1" spans="1:10">
      <c r="A1" s="21" t="s">
        <v>119</v>
      </c>
      <c r="B1" s="21"/>
      <c r="C1" s="21"/>
      <c r="D1" s="21"/>
      <c r="E1" s="21"/>
      <c r="F1" s="21"/>
      <c r="G1" s="21"/>
      <c r="H1" s="21"/>
      <c r="I1" s="41"/>
      <c r="J1" s="42"/>
    </row>
    <row r="2" ht="23.45" customHeight="1" spans="1:10">
      <c r="A2" s="22" t="s">
        <v>1</v>
      </c>
      <c r="B2" s="22" t="s">
        <v>2</v>
      </c>
      <c r="C2" s="22" t="s">
        <v>3</v>
      </c>
      <c r="D2" s="22" t="s">
        <v>4</v>
      </c>
      <c r="E2" s="22" t="s">
        <v>120</v>
      </c>
      <c r="F2" s="22" t="s">
        <v>6</v>
      </c>
      <c r="G2" s="22" t="s">
        <v>121</v>
      </c>
      <c r="H2" s="22"/>
      <c r="I2" s="43"/>
      <c r="J2" s="30" t="s">
        <v>9</v>
      </c>
    </row>
    <row r="3" ht="15" customHeight="1" spans="1:10">
      <c r="A3" s="22"/>
      <c r="B3" s="22"/>
      <c r="C3" s="22"/>
      <c r="D3" s="22"/>
      <c r="E3" s="22"/>
      <c r="F3" s="22"/>
      <c r="G3" s="22" t="s">
        <v>122</v>
      </c>
      <c r="H3" s="22" t="s">
        <v>123</v>
      </c>
      <c r="I3" s="43" t="s">
        <v>124</v>
      </c>
      <c r="J3" s="30"/>
    </row>
    <row r="4" ht="20.25" customHeight="1" spans="1:10">
      <c r="A4" s="23"/>
      <c r="B4" s="23"/>
      <c r="C4" s="23" t="s">
        <v>13</v>
      </c>
      <c r="D4" s="23" t="s">
        <v>13</v>
      </c>
      <c r="E4" s="23" t="s">
        <v>13</v>
      </c>
      <c r="F4" s="23" t="s">
        <v>13</v>
      </c>
      <c r="G4" s="23"/>
      <c r="H4" s="23"/>
      <c r="I4" s="44" t="s">
        <v>125</v>
      </c>
      <c r="J4" s="30"/>
    </row>
    <row r="5" ht="18.75" customHeight="1" spans="1:11">
      <c r="A5" s="24" t="s">
        <v>14</v>
      </c>
      <c r="B5" s="25" t="s">
        <v>15</v>
      </c>
      <c r="C5" s="24"/>
      <c r="D5" s="25"/>
      <c r="E5" s="24"/>
      <c r="F5" s="24">
        <f>F7</f>
        <v>26894.63</v>
      </c>
      <c r="G5" s="24"/>
      <c r="H5" s="24"/>
      <c r="I5" s="33"/>
      <c r="J5" s="24"/>
      <c r="K5" t="e">
        <f>'排涝总  总表'!H5-#REF!</f>
        <v>#REF!</v>
      </c>
    </row>
    <row r="6" ht="15" hidden="1" customHeight="1" spans="1:10">
      <c r="A6" s="24">
        <v>1</v>
      </c>
      <c r="B6" s="25" t="s">
        <v>126</v>
      </c>
      <c r="C6" s="24"/>
      <c r="D6" s="25"/>
      <c r="E6" s="24"/>
      <c r="F6" s="24">
        <v>2384.71</v>
      </c>
      <c r="G6" s="24"/>
      <c r="H6" s="24"/>
      <c r="I6" s="33"/>
      <c r="J6" s="24"/>
    </row>
    <row r="7" ht="18.75" customHeight="1" spans="1:11">
      <c r="A7" s="24">
        <v>2</v>
      </c>
      <c r="B7" s="25" t="s">
        <v>127</v>
      </c>
      <c r="C7" s="24"/>
      <c r="D7" s="25"/>
      <c r="E7" s="24"/>
      <c r="F7" s="24">
        <f>12938.38+13956.25</f>
        <v>26894.63</v>
      </c>
      <c r="G7" s="24"/>
      <c r="H7" s="24"/>
      <c r="I7" s="33"/>
      <c r="J7" s="24"/>
      <c r="K7" t="e">
        <f>'排涝总  总表'!H9-#REF!</f>
        <v>#REF!</v>
      </c>
    </row>
    <row r="8" ht="15" customHeight="1" spans="1:10">
      <c r="A8" s="26" t="s">
        <v>20</v>
      </c>
      <c r="B8" s="27" t="s">
        <v>21</v>
      </c>
      <c r="C8" s="25"/>
      <c r="D8" s="25"/>
      <c r="E8" s="28" t="e">
        <f>E9+E13+E14+E15+E16+E19+E22+E23+E24+E28+E33+E39+E40+E41+E42+E43+E44+E45+E46+E20+E21+E47</f>
        <v>#REF!</v>
      </c>
      <c r="F8" s="28" t="e">
        <f t="shared" ref="F8:F10" si="0">E8</f>
        <v>#REF!</v>
      </c>
      <c r="G8" s="29"/>
      <c r="H8" s="29"/>
      <c r="I8" s="45"/>
      <c r="J8" s="29"/>
    </row>
    <row r="9" ht="18.75" customHeight="1" spans="1:10">
      <c r="A9" s="26">
        <v>1</v>
      </c>
      <c r="B9" s="27" t="s">
        <v>22</v>
      </c>
      <c r="C9" s="25"/>
      <c r="D9" s="25"/>
      <c r="E9" s="28" t="e">
        <f>E10+E11+E12</f>
        <v>#REF!</v>
      </c>
      <c r="F9" s="28" t="e">
        <f t="shared" si="0"/>
        <v>#REF!</v>
      </c>
      <c r="G9" s="29"/>
      <c r="H9" s="29"/>
      <c r="I9" s="45"/>
      <c r="J9" s="29"/>
    </row>
    <row r="10" ht="18.75" customHeight="1" spans="1:10">
      <c r="A10" s="30">
        <v>1.1</v>
      </c>
      <c r="B10" s="31" t="s">
        <v>23</v>
      </c>
      <c r="C10" s="32"/>
      <c r="D10" s="32"/>
      <c r="E10" s="33" t="e">
        <f>'排涝总  总表'!G11-#REF!</f>
        <v>#REF!</v>
      </c>
      <c r="F10" s="33" t="e">
        <f t="shared" si="0"/>
        <v>#REF!</v>
      </c>
      <c r="G10" s="29"/>
      <c r="H10" s="29"/>
      <c r="I10" s="45"/>
      <c r="J10" s="29"/>
    </row>
    <row r="11" ht="18.75" customHeight="1" spans="1:10">
      <c r="A11" s="30">
        <v>1.2</v>
      </c>
      <c r="B11" s="31" t="s">
        <v>24</v>
      </c>
      <c r="C11" s="32"/>
      <c r="D11" s="32"/>
      <c r="E11" s="33" t="e">
        <f>'排涝总  总表'!G12-#REF!</f>
        <v>#REF!</v>
      </c>
      <c r="F11" s="33"/>
      <c r="G11" s="29"/>
      <c r="H11" s="29"/>
      <c r="I11" s="45"/>
      <c r="J11" s="29"/>
    </row>
    <row r="12" ht="18.75" customHeight="1" spans="1:10">
      <c r="A12" s="30">
        <v>1.3</v>
      </c>
      <c r="B12" s="31" t="s">
        <v>25</v>
      </c>
      <c r="C12" s="32"/>
      <c r="D12" s="32"/>
      <c r="E12" s="33" t="e">
        <f>'排涝总  总表'!G13-#REF!</f>
        <v>#REF!</v>
      </c>
      <c r="F12" s="33"/>
      <c r="G12" s="29"/>
      <c r="H12" s="29"/>
      <c r="I12" s="45"/>
      <c r="J12" s="29"/>
    </row>
    <row r="13" ht="18.75" customHeight="1" spans="1:10">
      <c r="A13" s="34">
        <v>2</v>
      </c>
      <c r="B13" s="31" t="s">
        <v>28</v>
      </c>
      <c r="C13" s="32"/>
      <c r="D13" s="32"/>
      <c r="E13" s="33" t="e">
        <f>'排涝总  总表'!G15-#REF!</f>
        <v>#REF!</v>
      </c>
      <c r="F13" s="33" t="e">
        <f t="shared" ref="F13:F24" si="1">E13</f>
        <v>#REF!</v>
      </c>
      <c r="G13" s="29"/>
      <c r="H13" s="29"/>
      <c r="I13" s="45"/>
      <c r="J13" s="30" t="s">
        <v>29</v>
      </c>
    </row>
    <row r="14" ht="20.25" customHeight="1" spans="1:10">
      <c r="A14" s="34">
        <v>3</v>
      </c>
      <c r="B14" s="31" t="s">
        <v>30</v>
      </c>
      <c r="C14" s="32"/>
      <c r="D14" s="32"/>
      <c r="E14" s="33" t="e">
        <f>'排涝总  总表'!G16-#REF!</f>
        <v>#REF!</v>
      </c>
      <c r="F14" s="33" t="e">
        <f t="shared" si="1"/>
        <v>#REF!</v>
      </c>
      <c r="G14" s="29"/>
      <c r="H14" s="29"/>
      <c r="I14" s="45"/>
      <c r="J14" s="30" t="s">
        <v>128</v>
      </c>
    </row>
    <row r="15" ht="22.5" customHeight="1" spans="1:10">
      <c r="A15" s="34">
        <v>4</v>
      </c>
      <c r="B15" s="31" t="s">
        <v>32</v>
      </c>
      <c r="C15" s="32"/>
      <c r="D15" s="32"/>
      <c r="E15" s="33" t="e">
        <f>'排涝总  总表'!G17-#REF!</f>
        <v>#REF!</v>
      </c>
      <c r="F15" s="33" t="e">
        <f t="shared" si="1"/>
        <v>#REF!</v>
      </c>
      <c r="G15" s="29"/>
      <c r="H15" s="29"/>
      <c r="I15" s="45"/>
      <c r="J15" s="30" t="s">
        <v>129</v>
      </c>
    </row>
    <row r="16" ht="24.75" customHeight="1" spans="1:10">
      <c r="A16" s="34">
        <v>5</v>
      </c>
      <c r="B16" s="31" t="s">
        <v>34</v>
      </c>
      <c r="C16" s="32"/>
      <c r="D16" s="32"/>
      <c r="E16" s="33" t="e">
        <f>'排涝总  总表'!G18-#REF!</f>
        <v>#REF!</v>
      </c>
      <c r="F16" s="33" t="e">
        <f t="shared" si="1"/>
        <v>#REF!</v>
      </c>
      <c r="G16" s="29"/>
      <c r="H16" s="29"/>
      <c r="I16" s="45"/>
      <c r="J16" s="30" t="s">
        <v>130</v>
      </c>
    </row>
    <row r="17" ht="24.75" customHeight="1" spans="1:10">
      <c r="A17" s="35" t="s">
        <v>35</v>
      </c>
      <c r="B17" s="36" t="s">
        <v>36</v>
      </c>
      <c r="C17" s="32"/>
      <c r="D17" s="32"/>
      <c r="E17" s="33" t="e">
        <f>'排涝总  总表'!G19-#REF!</f>
        <v>#REF!</v>
      </c>
      <c r="F17" s="33" t="e">
        <f t="shared" si="1"/>
        <v>#REF!</v>
      </c>
      <c r="G17" s="29"/>
      <c r="H17" s="29"/>
      <c r="I17" s="45"/>
      <c r="J17" s="30"/>
    </row>
    <row r="18" ht="24.75" customHeight="1" spans="1:10">
      <c r="A18" s="35" t="s">
        <v>38</v>
      </c>
      <c r="B18" s="36" t="s">
        <v>39</v>
      </c>
      <c r="C18" s="32"/>
      <c r="D18" s="32"/>
      <c r="E18" s="33" t="e">
        <f>'排涝总  总表'!G20-#REF!</f>
        <v>#REF!</v>
      </c>
      <c r="F18" s="33" t="e">
        <f t="shared" si="1"/>
        <v>#REF!</v>
      </c>
      <c r="G18" s="29"/>
      <c r="H18" s="29"/>
      <c r="I18" s="45"/>
      <c r="J18" s="30"/>
    </row>
    <row r="19" ht="24.75" customHeight="1" spans="1:10">
      <c r="A19" s="34">
        <v>6</v>
      </c>
      <c r="B19" s="31" t="s">
        <v>41</v>
      </c>
      <c r="C19" s="32"/>
      <c r="D19" s="32"/>
      <c r="E19" s="33" t="e">
        <f>'排涝总  总表'!G21-#REF!</f>
        <v>#REF!</v>
      </c>
      <c r="F19" s="33" t="e">
        <f t="shared" si="1"/>
        <v>#REF!</v>
      </c>
      <c r="G19" s="29"/>
      <c r="H19" s="29"/>
      <c r="I19" s="45"/>
      <c r="J19" s="30" t="s">
        <v>87</v>
      </c>
    </row>
    <row r="20" ht="25.5" customHeight="1" spans="1:10">
      <c r="A20" s="34">
        <v>7</v>
      </c>
      <c r="B20" s="31" t="s">
        <v>42</v>
      </c>
      <c r="C20" s="32"/>
      <c r="D20" s="32"/>
      <c r="E20" s="33" t="e">
        <f>'排涝总  总表'!G22-#REF!</f>
        <v>#REF!</v>
      </c>
      <c r="F20" s="33" t="e">
        <f t="shared" si="1"/>
        <v>#REF!</v>
      </c>
      <c r="G20" s="29"/>
      <c r="H20" s="29"/>
      <c r="I20" s="45"/>
      <c r="J20" s="30" t="s">
        <v>131</v>
      </c>
    </row>
    <row r="21" ht="20.25" customHeight="1" spans="1:10">
      <c r="A21" s="37">
        <v>8</v>
      </c>
      <c r="B21" s="31" t="s">
        <v>43</v>
      </c>
      <c r="C21" s="31"/>
      <c r="D21" s="31"/>
      <c r="E21" s="33" t="e">
        <f>'排涝总  总表'!G23-#REF!</f>
        <v>#REF!</v>
      </c>
      <c r="F21" s="38" t="e">
        <f t="shared" si="1"/>
        <v>#REF!</v>
      </c>
      <c r="G21" s="39"/>
      <c r="H21" s="39"/>
      <c r="I21" s="46"/>
      <c r="J21" s="30" t="s">
        <v>80</v>
      </c>
    </row>
    <row r="22" ht="15" customHeight="1" spans="1:10">
      <c r="A22" s="34">
        <v>9</v>
      </c>
      <c r="B22" s="31" t="s">
        <v>44</v>
      </c>
      <c r="C22" s="32"/>
      <c r="D22" s="32"/>
      <c r="E22" s="33" t="e">
        <f>'排涝总  总表'!G24-#REF!</f>
        <v>#REF!</v>
      </c>
      <c r="F22" s="33" t="e">
        <f t="shared" si="1"/>
        <v>#REF!</v>
      </c>
      <c r="G22" s="29"/>
      <c r="H22" s="29"/>
      <c r="I22" s="45"/>
      <c r="J22" s="30" t="s">
        <v>132</v>
      </c>
    </row>
    <row r="23" ht="15" customHeight="1" spans="1:10">
      <c r="A23" s="34">
        <v>10</v>
      </c>
      <c r="B23" s="31" t="s">
        <v>48</v>
      </c>
      <c r="C23" s="32"/>
      <c r="D23" s="32"/>
      <c r="E23" s="33" t="e">
        <f>'排涝总  总表'!G27-#REF!</f>
        <v>#REF!</v>
      </c>
      <c r="F23" s="33" t="e">
        <f t="shared" si="1"/>
        <v>#REF!</v>
      </c>
      <c r="G23" s="29"/>
      <c r="H23" s="29"/>
      <c r="I23" s="45"/>
      <c r="J23" s="30" t="s">
        <v>133</v>
      </c>
    </row>
    <row r="24" ht="15" customHeight="1" spans="1:10">
      <c r="A24" s="34">
        <v>11</v>
      </c>
      <c r="B24" s="31" t="s">
        <v>49</v>
      </c>
      <c r="C24" s="32"/>
      <c r="D24" s="32"/>
      <c r="E24" s="33" t="e">
        <f>'排涝总  总表'!G28-#REF!</f>
        <v>#REF!</v>
      </c>
      <c r="F24" s="33" t="e">
        <f t="shared" si="1"/>
        <v>#REF!</v>
      </c>
      <c r="G24" s="29"/>
      <c r="H24" s="29"/>
      <c r="I24" s="45"/>
      <c r="J24" s="30"/>
    </row>
    <row r="25" ht="15" customHeight="1" spans="1:10">
      <c r="A25" s="35" t="s">
        <v>50</v>
      </c>
      <c r="B25" s="36" t="s">
        <v>51</v>
      </c>
      <c r="C25" s="32"/>
      <c r="D25" s="32"/>
      <c r="E25" s="33" t="e">
        <f>'排涝总  总表'!G29-#REF!</f>
        <v>#REF!</v>
      </c>
      <c r="F25" s="28"/>
      <c r="G25" s="29"/>
      <c r="H25" s="29"/>
      <c r="I25" s="45"/>
      <c r="J25" s="30" t="s">
        <v>134</v>
      </c>
    </row>
    <row r="26" ht="15" customHeight="1" spans="1:10">
      <c r="A26" s="35" t="s">
        <v>52</v>
      </c>
      <c r="B26" s="36" t="s">
        <v>53</v>
      </c>
      <c r="C26" s="32"/>
      <c r="D26" s="32"/>
      <c r="E26" s="33" t="e">
        <f>'排涝总  总表'!G30-#REF!</f>
        <v>#REF!</v>
      </c>
      <c r="F26" s="28"/>
      <c r="G26" s="29"/>
      <c r="H26" s="29"/>
      <c r="I26" s="45"/>
      <c r="J26" s="30" t="s">
        <v>134</v>
      </c>
    </row>
    <row r="27" ht="15" customHeight="1" spans="1:10">
      <c r="A27" s="35" t="s">
        <v>55</v>
      </c>
      <c r="B27" s="36" t="s">
        <v>56</v>
      </c>
      <c r="C27" s="32"/>
      <c r="D27" s="32"/>
      <c r="E27" s="33" t="e">
        <f>'排涝总  总表'!G31-#REF!</f>
        <v>#REF!</v>
      </c>
      <c r="F27" s="28"/>
      <c r="G27" s="29"/>
      <c r="H27" s="29"/>
      <c r="I27" s="45"/>
      <c r="J27" s="30" t="s">
        <v>134</v>
      </c>
    </row>
    <row r="28" ht="15" customHeight="1" spans="1:10">
      <c r="A28" s="35" t="s">
        <v>57</v>
      </c>
      <c r="B28" s="31" t="s">
        <v>58</v>
      </c>
      <c r="C28" s="32"/>
      <c r="D28" s="32"/>
      <c r="E28" s="33" t="e">
        <f>'排涝总  总表'!G32-#REF!</f>
        <v>#REF!</v>
      </c>
      <c r="F28" s="33" t="e">
        <f>E28</f>
        <v>#REF!</v>
      </c>
      <c r="G28" s="29"/>
      <c r="H28" s="29"/>
      <c r="I28" s="45"/>
      <c r="J28" s="30" t="s">
        <v>135</v>
      </c>
    </row>
    <row r="29" spans="1:10">
      <c r="A29" s="35" t="s">
        <v>60</v>
      </c>
      <c r="B29" s="36" t="s">
        <v>61</v>
      </c>
      <c r="C29" s="32"/>
      <c r="D29" s="32"/>
      <c r="E29" s="33" t="e">
        <f>'排涝总  总表'!G33-#REF!</f>
        <v>#REF!</v>
      </c>
      <c r="F29" s="28"/>
      <c r="G29" s="29"/>
      <c r="H29" s="29"/>
      <c r="I29" s="45"/>
      <c r="J29" s="30"/>
    </row>
    <row r="30" spans="1:10">
      <c r="A30" s="35" t="s">
        <v>62</v>
      </c>
      <c r="B30" s="36" t="s">
        <v>63</v>
      </c>
      <c r="C30" s="32"/>
      <c r="D30" s="32"/>
      <c r="E30" s="33" t="e">
        <f>'排涝总  总表'!G34-#REF!</f>
        <v>#REF!</v>
      </c>
      <c r="F30" s="28"/>
      <c r="G30" s="29"/>
      <c r="H30" s="29"/>
      <c r="I30" s="45"/>
      <c r="J30" s="30"/>
    </row>
    <row r="31" spans="1:10">
      <c r="A31" s="35" t="s">
        <v>64</v>
      </c>
      <c r="B31" s="36" t="s">
        <v>65</v>
      </c>
      <c r="C31" s="32"/>
      <c r="D31" s="32"/>
      <c r="E31" s="33" t="e">
        <f>'排涝总  总表'!G35-#REF!</f>
        <v>#REF!</v>
      </c>
      <c r="F31" s="28"/>
      <c r="G31" s="29"/>
      <c r="H31" s="29"/>
      <c r="I31" s="45"/>
      <c r="J31" s="30"/>
    </row>
    <row r="32" spans="1:10">
      <c r="A32" s="35" t="s">
        <v>66</v>
      </c>
      <c r="B32" s="36" t="s">
        <v>136</v>
      </c>
      <c r="C32" s="32"/>
      <c r="D32" s="32"/>
      <c r="E32" s="33" t="e">
        <f>'排涝总  总表'!G36-#REF!</f>
        <v>#REF!</v>
      </c>
      <c r="F32" s="28"/>
      <c r="G32" s="29"/>
      <c r="H32" s="29"/>
      <c r="I32" s="45"/>
      <c r="J32" s="30"/>
    </row>
    <row r="33" spans="1:10">
      <c r="A33" s="34">
        <v>13</v>
      </c>
      <c r="B33" s="31" t="s">
        <v>68</v>
      </c>
      <c r="C33" s="32"/>
      <c r="D33" s="32"/>
      <c r="E33" s="33" t="e">
        <f>'排涝总  总表'!G37-#REF!</f>
        <v>#REF!</v>
      </c>
      <c r="F33" s="33" t="e">
        <f>E33</f>
        <v>#REF!</v>
      </c>
      <c r="G33" s="29"/>
      <c r="H33" s="29"/>
      <c r="I33" s="45"/>
      <c r="J33" s="30" t="s">
        <v>137</v>
      </c>
    </row>
    <row r="34" spans="1:10">
      <c r="A34" s="35" t="s">
        <v>70</v>
      </c>
      <c r="B34" s="31" t="s">
        <v>71</v>
      </c>
      <c r="C34" s="32"/>
      <c r="D34" s="32"/>
      <c r="E34" s="33" t="e">
        <f>'排涝总  总表'!G38-#REF!</f>
        <v>#REF!</v>
      </c>
      <c r="F34" s="28"/>
      <c r="G34" s="29"/>
      <c r="H34" s="29"/>
      <c r="I34" s="45"/>
      <c r="J34" s="30"/>
    </row>
    <row r="35" spans="1:10">
      <c r="A35" s="35" t="s">
        <v>72</v>
      </c>
      <c r="B35" s="31" t="s">
        <v>73</v>
      </c>
      <c r="C35" s="32"/>
      <c r="D35" s="32"/>
      <c r="E35" s="33" t="e">
        <f>'排涝总  总表'!G39-#REF!</f>
        <v>#REF!</v>
      </c>
      <c r="F35" s="28"/>
      <c r="G35" s="29"/>
      <c r="H35" s="29"/>
      <c r="I35" s="45"/>
      <c r="J35" s="30"/>
    </row>
    <row r="36" ht="24" spans="1:10">
      <c r="A36" s="35" t="s">
        <v>74</v>
      </c>
      <c r="B36" s="31" t="s">
        <v>75</v>
      </c>
      <c r="C36" s="32"/>
      <c r="D36" s="32"/>
      <c r="E36" s="33" t="e">
        <f>'排涝总  总表'!G40-#REF!</f>
        <v>#REF!</v>
      </c>
      <c r="F36" s="28"/>
      <c r="G36" s="29"/>
      <c r="H36" s="29"/>
      <c r="I36" s="45"/>
      <c r="J36" s="30"/>
    </row>
    <row r="37" ht="24" spans="1:10">
      <c r="A37" s="35" t="s">
        <v>76</v>
      </c>
      <c r="B37" s="31" t="s">
        <v>77</v>
      </c>
      <c r="C37" s="32"/>
      <c r="D37" s="32"/>
      <c r="E37" s="33" t="e">
        <f>'排涝总  总表'!G41-#REF!</f>
        <v>#REF!</v>
      </c>
      <c r="F37" s="28"/>
      <c r="G37" s="29"/>
      <c r="H37" s="29"/>
      <c r="I37" s="45"/>
      <c r="J37" s="30"/>
    </row>
    <row r="38" spans="1:10">
      <c r="A38" s="35" t="s">
        <v>78</v>
      </c>
      <c r="B38" s="31" t="s">
        <v>79</v>
      </c>
      <c r="C38" s="32"/>
      <c r="D38" s="32"/>
      <c r="E38" s="33" t="e">
        <f>'排涝总  总表'!G42-#REF!</f>
        <v>#REF!</v>
      </c>
      <c r="F38" s="28"/>
      <c r="G38" s="29"/>
      <c r="H38" s="29"/>
      <c r="I38" s="45"/>
      <c r="J38" s="47" t="s">
        <v>80</v>
      </c>
    </row>
    <row r="39" spans="1:10">
      <c r="A39" s="34">
        <v>14</v>
      </c>
      <c r="B39" s="31" t="s">
        <v>81</v>
      </c>
      <c r="C39" s="32"/>
      <c r="D39" s="32"/>
      <c r="E39" s="33" t="e">
        <f>'排涝总  总表'!G43-#REF!</f>
        <v>#REF!</v>
      </c>
      <c r="F39" s="33" t="e">
        <f t="shared" ref="F39:F50" si="2">E39</f>
        <v>#REF!</v>
      </c>
      <c r="G39" s="29"/>
      <c r="H39" s="29"/>
      <c r="I39" s="45"/>
      <c r="J39" s="30" t="s">
        <v>138</v>
      </c>
    </row>
    <row r="40" spans="1:10">
      <c r="A40" s="34">
        <v>15</v>
      </c>
      <c r="B40" s="31" t="s">
        <v>83</v>
      </c>
      <c r="C40" s="32"/>
      <c r="D40" s="32"/>
      <c r="E40" s="33" t="e">
        <f>'排涝总  总表'!G44-#REF!</f>
        <v>#REF!</v>
      </c>
      <c r="F40" s="33" t="e">
        <f t="shared" si="2"/>
        <v>#REF!</v>
      </c>
      <c r="G40" s="29"/>
      <c r="H40" s="29"/>
      <c r="I40" s="45"/>
      <c r="J40" s="30" t="s">
        <v>139</v>
      </c>
    </row>
    <row r="41" ht="24" spans="1:10">
      <c r="A41" s="34">
        <v>16</v>
      </c>
      <c r="B41" s="31" t="s">
        <v>140</v>
      </c>
      <c r="C41" s="31"/>
      <c r="D41" s="31"/>
      <c r="E41" s="33" t="e">
        <f>'排涝总  总表'!G45-#REF!</f>
        <v>#REF!</v>
      </c>
      <c r="F41" s="38" t="e">
        <f t="shared" si="2"/>
        <v>#REF!</v>
      </c>
      <c r="G41" s="39"/>
      <c r="H41" s="39"/>
      <c r="I41" s="46"/>
      <c r="J41" s="30" t="s">
        <v>141</v>
      </c>
    </row>
    <row r="42" spans="1:10">
      <c r="A42" s="34">
        <v>17</v>
      </c>
      <c r="B42" s="31" t="s">
        <v>86</v>
      </c>
      <c r="C42" s="31"/>
      <c r="D42" s="31"/>
      <c r="E42" s="33" t="e">
        <f>'排涝总  总表'!G46-#REF!</f>
        <v>#REF!</v>
      </c>
      <c r="F42" s="38" t="e">
        <f t="shared" si="2"/>
        <v>#REF!</v>
      </c>
      <c r="G42" s="39"/>
      <c r="H42" s="39"/>
      <c r="I42" s="46"/>
      <c r="J42" s="30" t="s">
        <v>87</v>
      </c>
    </row>
    <row r="43" spans="1:10">
      <c r="A43" s="34">
        <v>18</v>
      </c>
      <c r="B43" s="31" t="s">
        <v>88</v>
      </c>
      <c r="C43" s="31"/>
      <c r="D43" s="31"/>
      <c r="E43" s="33" t="e">
        <f>'排涝总  总表'!G47-#REF!</f>
        <v>#REF!</v>
      </c>
      <c r="F43" s="38" t="e">
        <f t="shared" si="2"/>
        <v>#REF!</v>
      </c>
      <c r="G43" s="39"/>
      <c r="H43" s="39"/>
      <c r="I43" s="46"/>
      <c r="J43" s="30" t="s">
        <v>80</v>
      </c>
    </row>
    <row r="44" spans="1:10">
      <c r="A44" s="34">
        <v>19</v>
      </c>
      <c r="B44" s="31" t="s">
        <v>93</v>
      </c>
      <c r="C44" s="31"/>
      <c r="D44" s="31"/>
      <c r="E44" s="33" t="e">
        <f>'排涝总  总表'!G50-#REF!</f>
        <v>#REF!</v>
      </c>
      <c r="F44" s="38" t="e">
        <f t="shared" si="2"/>
        <v>#REF!</v>
      </c>
      <c r="G44" s="39"/>
      <c r="H44" s="39"/>
      <c r="I44" s="46"/>
      <c r="J44" s="30" t="s">
        <v>80</v>
      </c>
    </row>
    <row r="45" spans="1:10">
      <c r="A45" s="34">
        <v>20</v>
      </c>
      <c r="B45" s="31" t="s">
        <v>142</v>
      </c>
      <c r="C45" s="31"/>
      <c r="D45" s="31"/>
      <c r="E45" s="33" t="e">
        <f>'排涝总  总表'!G51-#REF!</f>
        <v>#REF!</v>
      </c>
      <c r="F45" s="38" t="e">
        <f t="shared" si="2"/>
        <v>#REF!</v>
      </c>
      <c r="G45" s="39"/>
      <c r="H45" s="39"/>
      <c r="I45" s="46"/>
      <c r="J45" s="30" t="s">
        <v>80</v>
      </c>
    </row>
    <row r="46" spans="1:10">
      <c r="A46" s="34">
        <v>21</v>
      </c>
      <c r="B46" s="31" t="s">
        <v>95</v>
      </c>
      <c r="C46" s="31"/>
      <c r="D46" s="31"/>
      <c r="E46" s="33" t="e">
        <f>'排涝总  总表'!G52-#REF!</f>
        <v>#REF!</v>
      </c>
      <c r="F46" s="38" t="e">
        <f t="shared" si="2"/>
        <v>#REF!</v>
      </c>
      <c r="G46" s="39"/>
      <c r="H46" s="39"/>
      <c r="I46" s="46"/>
      <c r="J46" s="30" t="s">
        <v>80</v>
      </c>
    </row>
    <row r="47" spans="1:10">
      <c r="A47" s="34">
        <v>22</v>
      </c>
      <c r="B47" s="31" t="s">
        <v>96</v>
      </c>
      <c r="C47" s="31"/>
      <c r="D47" s="31"/>
      <c r="E47" s="33" t="e">
        <f>'排涝总  总表'!G53-#REF!</f>
        <v>#REF!</v>
      </c>
      <c r="F47" s="38" t="e">
        <f t="shared" si="2"/>
        <v>#REF!</v>
      </c>
      <c r="G47" s="39"/>
      <c r="H47" s="39"/>
      <c r="I47" s="46"/>
      <c r="J47" s="30" t="s">
        <v>80</v>
      </c>
    </row>
    <row r="48" spans="1:11">
      <c r="A48" s="26" t="s">
        <v>108</v>
      </c>
      <c r="B48" s="25" t="s">
        <v>109</v>
      </c>
      <c r="C48" s="25"/>
      <c r="D48" s="25"/>
      <c r="E48" s="28" t="e">
        <f>E49</f>
        <v>#REF!</v>
      </c>
      <c r="F48" s="28" t="e">
        <f t="shared" si="2"/>
        <v>#REF!</v>
      </c>
      <c r="G48" s="29"/>
      <c r="H48" s="29"/>
      <c r="I48" s="45"/>
      <c r="J48" s="29"/>
      <c r="K48" t="e">
        <f>'排涝总  总表'!G63-#REF!</f>
        <v>#REF!</v>
      </c>
    </row>
    <row r="49" spans="1:10">
      <c r="A49" s="40">
        <v>1</v>
      </c>
      <c r="B49" s="31" t="s">
        <v>110</v>
      </c>
      <c r="C49" s="32"/>
      <c r="D49" s="32"/>
      <c r="E49" s="28" t="e">
        <f>'排涝总  总表'!G63-#REF!</f>
        <v>#REF!</v>
      </c>
      <c r="F49" s="28" t="e">
        <f t="shared" si="2"/>
        <v>#REF!</v>
      </c>
      <c r="G49" s="29"/>
      <c r="H49" s="29"/>
      <c r="I49" s="45"/>
      <c r="J49" s="30" t="s">
        <v>143</v>
      </c>
    </row>
    <row r="50" spans="1:11">
      <c r="A50" s="24" t="s">
        <v>112</v>
      </c>
      <c r="B50" s="27" t="s">
        <v>113</v>
      </c>
      <c r="C50" s="25"/>
      <c r="D50" s="25"/>
      <c r="E50" s="28" t="e">
        <f>F5+F8+F48</f>
        <v>#REF!</v>
      </c>
      <c r="F50" s="28" t="e">
        <f t="shared" si="2"/>
        <v>#REF!</v>
      </c>
      <c r="G50" s="29"/>
      <c r="H50" s="29"/>
      <c r="I50" s="45"/>
      <c r="J50" s="29"/>
      <c r="K50" t="e">
        <f>K5+K7+K48</f>
        <v>#REF!</v>
      </c>
    </row>
  </sheetData>
  <mergeCells count="8">
    <mergeCell ref="A1:J1"/>
    <mergeCell ref="G2:I2"/>
    <mergeCell ref="A2:A4"/>
    <mergeCell ref="B2:B4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5"/>
  <sheetViews>
    <sheetView topLeftCell="A11" workbookViewId="0">
      <selection activeCell="A1" sqref="$A1:$XFD65536"/>
    </sheetView>
  </sheetViews>
  <sheetFormatPr defaultColWidth="6.75" defaultRowHeight="11.25"/>
  <cols>
    <col min="1" max="1" width="7.375" style="1" customWidth="1"/>
    <col min="2" max="2" width="23.625" style="1" customWidth="1"/>
    <col min="3" max="3" width="10.5" style="1" customWidth="1"/>
    <col min="4" max="4" width="6.5" style="1" customWidth="1"/>
    <col min="5" max="5" width="4" style="1" customWidth="1"/>
    <col min="6" max="6" width="10.5" style="1" customWidth="1"/>
    <col min="7" max="7" width="10.375" style="1" customWidth="1"/>
    <col min="8" max="8" width="10.25" style="1" customWidth="1"/>
    <col min="9" max="9" width="11.375" style="1" customWidth="1"/>
    <col min="10" max="10" width="2.875" style="1" customWidth="1"/>
    <col min="11" max="11" width="7" style="1" customWidth="1"/>
    <col min="12" max="12" width="12" style="1" customWidth="1"/>
    <col min="13" max="13" width="9.625" style="1" customWidth="1"/>
    <col min="14" max="16384" width="6.75" style="1"/>
  </cols>
  <sheetData>
    <row r="1" s="1" customFormat="1" ht="39.75" customHeight="1" spans="1:13">
      <c r="A1" s="2" t="s">
        <v>144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3"/>
    </row>
    <row r="2" s="1" customFormat="1" ht="28.5" customHeight="1" spans="1:13">
      <c r="A2" s="3" t="s">
        <v>145</v>
      </c>
      <c r="B2" s="3"/>
      <c r="C2" s="3"/>
      <c r="D2" s="3"/>
      <c r="E2" s="3"/>
      <c r="F2" s="3"/>
      <c r="G2" s="3"/>
      <c r="H2" s="3"/>
      <c r="I2" s="3"/>
      <c r="J2" s="3"/>
      <c r="K2" s="14" t="s">
        <v>146</v>
      </c>
      <c r="L2" s="14"/>
      <c r="M2" s="14"/>
    </row>
    <row r="3" s="1" customFormat="1" ht="28.5" customHeight="1" spans="1:13">
      <c r="A3" s="4" t="s">
        <v>1</v>
      </c>
      <c r="B3" s="5" t="s">
        <v>147</v>
      </c>
      <c r="C3" s="5" t="s">
        <v>148</v>
      </c>
      <c r="D3" s="5"/>
      <c r="E3" s="5"/>
      <c r="F3" s="5"/>
      <c r="G3" s="5"/>
      <c r="H3" s="5"/>
      <c r="I3" s="5" t="s">
        <v>149</v>
      </c>
      <c r="J3" s="5"/>
      <c r="K3" s="5"/>
      <c r="L3" s="5"/>
      <c r="M3" s="15" t="s">
        <v>150</v>
      </c>
    </row>
    <row r="4" s="1" customFormat="1" ht="28.5" customHeight="1" spans="1:13">
      <c r="A4" s="6"/>
      <c r="B4" s="7"/>
      <c r="C4" s="7" t="s">
        <v>151</v>
      </c>
      <c r="D4" s="7" t="s">
        <v>152</v>
      </c>
      <c r="E4" s="7"/>
      <c r="F4" s="7" t="s">
        <v>153</v>
      </c>
      <c r="G4" s="7" t="s">
        <v>154</v>
      </c>
      <c r="H4" s="7" t="s">
        <v>12</v>
      </c>
      <c r="I4" s="7" t="s">
        <v>122</v>
      </c>
      <c r="J4" s="7" t="s">
        <v>155</v>
      </c>
      <c r="K4" s="7"/>
      <c r="L4" s="7" t="s">
        <v>156</v>
      </c>
      <c r="M4" s="16"/>
    </row>
    <row r="5" s="1" customFormat="1" ht="18.75" customHeight="1" spans="1:13">
      <c r="A5" s="6" t="s">
        <v>157</v>
      </c>
      <c r="B5" s="8" t="s">
        <v>15</v>
      </c>
      <c r="C5" s="9">
        <v>69544.85</v>
      </c>
      <c r="D5" s="9">
        <v>3676.37</v>
      </c>
      <c r="E5" s="9"/>
      <c r="F5" s="9"/>
      <c r="G5" s="9"/>
      <c r="H5" s="9">
        <v>73221.22</v>
      </c>
      <c r="I5" s="7"/>
      <c r="J5" s="9"/>
      <c r="K5" s="9"/>
      <c r="L5" s="9"/>
      <c r="M5" s="17">
        <v>100</v>
      </c>
    </row>
    <row r="6" s="1" customFormat="1" ht="18.75" customHeight="1" spans="1:13">
      <c r="A6" s="6" t="s">
        <v>158</v>
      </c>
      <c r="B6" s="8" t="s">
        <v>159</v>
      </c>
      <c r="C6" s="9">
        <v>4770.2</v>
      </c>
      <c r="D6" s="9"/>
      <c r="E6" s="9"/>
      <c r="F6" s="9"/>
      <c r="G6" s="9"/>
      <c r="H6" s="9">
        <v>4770.2</v>
      </c>
      <c r="I6" s="7"/>
      <c r="J6" s="9"/>
      <c r="K6" s="9"/>
      <c r="L6" s="9"/>
      <c r="M6" s="17">
        <v>6.51</v>
      </c>
    </row>
    <row r="7" s="1" customFormat="1" ht="18.75" customHeight="1" spans="1:13">
      <c r="A7" s="6" t="s">
        <v>160</v>
      </c>
      <c r="B7" s="8" t="s">
        <v>161</v>
      </c>
      <c r="C7" s="9">
        <v>383.31</v>
      </c>
      <c r="D7" s="9"/>
      <c r="E7" s="9"/>
      <c r="F7" s="9"/>
      <c r="G7" s="9"/>
      <c r="H7" s="9">
        <v>383.31</v>
      </c>
      <c r="I7" s="7"/>
      <c r="J7" s="9"/>
      <c r="K7" s="9"/>
      <c r="L7" s="9"/>
      <c r="M7" s="17">
        <v>0.52</v>
      </c>
    </row>
    <row r="8" s="1" customFormat="1" ht="18.75" customHeight="1" spans="1:13">
      <c r="A8" s="6" t="s">
        <v>162</v>
      </c>
      <c r="B8" s="8" t="s">
        <v>163</v>
      </c>
      <c r="C8" s="9">
        <v>2688.81</v>
      </c>
      <c r="D8" s="9"/>
      <c r="E8" s="9"/>
      <c r="F8" s="9"/>
      <c r="G8" s="9"/>
      <c r="H8" s="9">
        <v>2688.81</v>
      </c>
      <c r="I8" s="7"/>
      <c r="J8" s="9"/>
      <c r="K8" s="9"/>
      <c r="L8" s="9"/>
      <c r="M8" s="17">
        <v>3.67</v>
      </c>
    </row>
    <row r="9" s="1" customFormat="1" ht="28.5" customHeight="1" spans="1:13">
      <c r="A9" s="6" t="s">
        <v>164</v>
      </c>
      <c r="B9" s="8" t="s">
        <v>165</v>
      </c>
      <c r="C9" s="9">
        <v>260.23</v>
      </c>
      <c r="D9" s="9"/>
      <c r="E9" s="9"/>
      <c r="F9" s="9"/>
      <c r="G9" s="9"/>
      <c r="H9" s="9">
        <v>260.23</v>
      </c>
      <c r="I9" s="7"/>
      <c r="J9" s="9"/>
      <c r="K9" s="9"/>
      <c r="L9" s="9"/>
      <c r="M9" s="17">
        <v>0.36</v>
      </c>
    </row>
    <row r="10" s="1" customFormat="1" ht="18.75" customHeight="1" spans="1:13">
      <c r="A10" s="6" t="s">
        <v>166</v>
      </c>
      <c r="B10" s="8" t="s">
        <v>167</v>
      </c>
      <c r="C10" s="9">
        <v>1437.86</v>
      </c>
      <c r="D10" s="9"/>
      <c r="E10" s="9"/>
      <c r="F10" s="9"/>
      <c r="G10" s="9"/>
      <c r="H10" s="9">
        <v>1437.86</v>
      </c>
      <c r="I10" s="7"/>
      <c r="J10" s="9"/>
      <c r="K10" s="9"/>
      <c r="L10" s="9"/>
      <c r="M10" s="17">
        <v>1.96</v>
      </c>
    </row>
    <row r="11" s="1" customFormat="1" ht="18.75" customHeight="1" spans="1:13">
      <c r="A11" s="6" t="s">
        <v>168</v>
      </c>
      <c r="B11" s="8" t="s">
        <v>169</v>
      </c>
      <c r="C11" s="9">
        <v>9119.37</v>
      </c>
      <c r="D11" s="9"/>
      <c r="E11" s="9"/>
      <c r="F11" s="9"/>
      <c r="G11" s="9"/>
      <c r="H11" s="9">
        <v>9119.37</v>
      </c>
      <c r="I11" s="7"/>
      <c r="J11" s="9"/>
      <c r="K11" s="9"/>
      <c r="L11" s="9"/>
      <c r="M11" s="17">
        <v>12.45</v>
      </c>
    </row>
    <row r="12" s="1" customFormat="1" ht="18.75" customHeight="1" spans="1:13">
      <c r="A12" s="6" t="s">
        <v>170</v>
      </c>
      <c r="B12" s="8" t="s">
        <v>171</v>
      </c>
      <c r="C12" s="9">
        <v>5400.74</v>
      </c>
      <c r="D12" s="9"/>
      <c r="E12" s="9"/>
      <c r="F12" s="9"/>
      <c r="G12" s="9"/>
      <c r="H12" s="9">
        <v>5400.74</v>
      </c>
      <c r="I12" s="7"/>
      <c r="J12" s="9"/>
      <c r="K12" s="9"/>
      <c r="L12" s="9"/>
      <c r="M12" s="17">
        <v>7.38</v>
      </c>
    </row>
    <row r="13" s="1" customFormat="1" ht="28.5" customHeight="1" spans="1:13">
      <c r="A13" s="6" t="s">
        <v>172</v>
      </c>
      <c r="B13" s="8" t="s">
        <v>173</v>
      </c>
      <c r="C13" s="9">
        <v>263.2</v>
      </c>
      <c r="D13" s="9"/>
      <c r="E13" s="9"/>
      <c r="F13" s="9"/>
      <c r="G13" s="9"/>
      <c r="H13" s="9">
        <v>263.2</v>
      </c>
      <c r="I13" s="7"/>
      <c r="J13" s="9"/>
      <c r="K13" s="9"/>
      <c r="L13" s="9"/>
      <c r="M13" s="17">
        <v>0.36</v>
      </c>
    </row>
    <row r="14" s="1" customFormat="1" ht="18.75" customHeight="1" spans="1:13">
      <c r="A14" s="6" t="s">
        <v>174</v>
      </c>
      <c r="B14" s="8" t="s">
        <v>175</v>
      </c>
      <c r="C14" s="9">
        <v>391.21</v>
      </c>
      <c r="D14" s="9"/>
      <c r="E14" s="9"/>
      <c r="F14" s="9"/>
      <c r="G14" s="9"/>
      <c r="H14" s="9">
        <v>391.21</v>
      </c>
      <c r="I14" s="7"/>
      <c r="J14" s="9"/>
      <c r="K14" s="9"/>
      <c r="L14" s="9"/>
      <c r="M14" s="17">
        <v>0.53</v>
      </c>
    </row>
    <row r="15" s="1" customFormat="1" ht="18.75" customHeight="1" spans="1:13">
      <c r="A15" s="6" t="s">
        <v>176</v>
      </c>
      <c r="B15" s="8" t="s">
        <v>177</v>
      </c>
      <c r="C15" s="9">
        <v>3064.23</v>
      </c>
      <c r="D15" s="9"/>
      <c r="E15" s="9"/>
      <c r="F15" s="9"/>
      <c r="G15" s="9"/>
      <c r="H15" s="9">
        <v>3064.23</v>
      </c>
      <c r="I15" s="7"/>
      <c r="J15" s="9"/>
      <c r="K15" s="9"/>
      <c r="L15" s="9"/>
      <c r="M15" s="17">
        <v>4.18</v>
      </c>
    </row>
    <row r="16" s="1" customFormat="1" ht="18.75" customHeight="1" spans="1:13">
      <c r="A16" s="6" t="s">
        <v>178</v>
      </c>
      <c r="B16" s="8" t="s">
        <v>179</v>
      </c>
      <c r="C16" s="9">
        <v>5782.17</v>
      </c>
      <c r="D16" s="9"/>
      <c r="E16" s="9"/>
      <c r="F16" s="9"/>
      <c r="G16" s="9"/>
      <c r="H16" s="9">
        <v>5782.17</v>
      </c>
      <c r="I16" s="7"/>
      <c r="J16" s="9"/>
      <c r="K16" s="9"/>
      <c r="L16" s="9"/>
      <c r="M16" s="17">
        <v>7.9</v>
      </c>
    </row>
    <row r="17" s="1" customFormat="1" ht="18.75" customHeight="1" spans="1:13">
      <c r="A17" s="6" t="s">
        <v>180</v>
      </c>
      <c r="B17" s="8" t="s">
        <v>181</v>
      </c>
      <c r="C17" s="9">
        <v>3552.38</v>
      </c>
      <c r="D17" s="9"/>
      <c r="E17" s="9"/>
      <c r="F17" s="9"/>
      <c r="G17" s="9"/>
      <c r="H17" s="9">
        <v>3552.38</v>
      </c>
      <c r="I17" s="7"/>
      <c r="J17" s="9"/>
      <c r="K17" s="9"/>
      <c r="L17" s="9"/>
      <c r="M17" s="17">
        <v>4.85</v>
      </c>
    </row>
    <row r="18" s="1" customFormat="1" ht="28.5" customHeight="1" spans="1:13">
      <c r="A18" s="6" t="s">
        <v>182</v>
      </c>
      <c r="B18" s="8" t="s">
        <v>183</v>
      </c>
      <c r="C18" s="9">
        <v>373.21</v>
      </c>
      <c r="D18" s="9"/>
      <c r="E18" s="9"/>
      <c r="F18" s="9"/>
      <c r="G18" s="9"/>
      <c r="H18" s="9">
        <v>373.21</v>
      </c>
      <c r="I18" s="7"/>
      <c r="J18" s="9"/>
      <c r="K18" s="9"/>
      <c r="L18" s="9"/>
      <c r="M18" s="17">
        <v>0.51</v>
      </c>
    </row>
    <row r="19" s="1" customFormat="1" ht="18.75" customHeight="1" spans="1:13">
      <c r="A19" s="6" t="s">
        <v>184</v>
      </c>
      <c r="B19" s="8" t="s">
        <v>185</v>
      </c>
      <c r="C19" s="9">
        <v>709.35</v>
      </c>
      <c r="D19" s="9"/>
      <c r="E19" s="9"/>
      <c r="F19" s="9"/>
      <c r="G19" s="9"/>
      <c r="H19" s="9">
        <v>709.35</v>
      </c>
      <c r="I19" s="7"/>
      <c r="J19" s="9"/>
      <c r="K19" s="9"/>
      <c r="L19" s="9"/>
      <c r="M19" s="17">
        <v>0.97</v>
      </c>
    </row>
    <row r="20" s="1" customFormat="1" ht="18.75" customHeight="1" spans="1:13">
      <c r="A20" s="6" t="s">
        <v>186</v>
      </c>
      <c r="B20" s="8" t="s">
        <v>187</v>
      </c>
      <c r="C20" s="9">
        <v>1147.23</v>
      </c>
      <c r="D20" s="9"/>
      <c r="E20" s="9"/>
      <c r="F20" s="9"/>
      <c r="G20" s="9"/>
      <c r="H20" s="9">
        <v>1147.23</v>
      </c>
      <c r="I20" s="7"/>
      <c r="J20" s="9"/>
      <c r="K20" s="9"/>
      <c r="L20" s="9"/>
      <c r="M20" s="17">
        <v>1.57</v>
      </c>
    </row>
    <row r="21" s="1" customFormat="1" ht="18.75" customHeight="1" spans="1:13">
      <c r="A21" s="6" t="s">
        <v>188</v>
      </c>
      <c r="B21" s="8" t="s">
        <v>189</v>
      </c>
      <c r="C21" s="9">
        <v>6977.62</v>
      </c>
      <c r="D21" s="9"/>
      <c r="E21" s="9"/>
      <c r="F21" s="9"/>
      <c r="G21" s="9"/>
      <c r="H21" s="9">
        <v>6977.62</v>
      </c>
      <c r="I21" s="7"/>
      <c r="J21" s="9"/>
      <c r="K21" s="9"/>
      <c r="L21" s="9"/>
      <c r="M21" s="17">
        <v>9.53</v>
      </c>
    </row>
    <row r="22" s="1" customFormat="1" ht="18.75" customHeight="1" spans="1:13">
      <c r="A22" s="10" t="s">
        <v>190</v>
      </c>
      <c r="B22" s="11" t="s">
        <v>191</v>
      </c>
      <c r="C22" s="12">
        <v>3010.89</v>
      </c>
      <c r="D22" s="12"/>
      <c r="E22" s="12"/>
      <c r="F22" s="12"/>
      <c r="G22" s="12"/>
      <c r="H22" s="12">
        <v>3010.89</v>
      </c>
      <c r="I22" s="18"/>
      <c r="J22" s="12"/>
      <c r="K22" s="12"/>
      <c r="L22" s="12"/>
      <c r="M22" s="19">
        <v>4.11</v>
      </c>
    </row>
    <row r="23" s="1" customFormat="1" ht="39.75" customHeight="1" spans="1:13">
      <c r="A23" s="2" t="s">
        <v>144</v>
      </c>
      <c r="B23" s="2"/>
      <c r="C23" s="2"/>
      <c r="D23" s="2"/>
      <c r="E23" s="2"/>
      <c r="F23" s="2"/>
      <c r="G23" s="2"/>
      <c r="H23" s="2"/>
      <c r="I23" s="2"/>
      <c r="J23" s="2"/>
      <c r="K23" s="13"/>
      <c r="L23" s="13"/>
      <c r="M23" s="13"/>
    </row>
    <row r="24" s="1" customFormat="1" ht="28.5" customHeight="1" spans="1:13">
      <c r="A24" s="3" t="s">
        <v>145</v>
      </c>
      <c r="B24" s="3"/>
      <c r="C24" s="3"/>
      <c r="D24" s="3"/>
      <c r="E24" s="3"/>
      <c r="F24" s="3"/>
      <c r="G24" s="3"/>
      <c r="H24" s="3"/>
      <c r="I24" s="3"/>
      <c r="J24" s="3"/>
      <c r="K24" s="14" t="s">
        <v>192</v>
      </c>
      <c r="L24" s="14"/>
      <c r="M24" s="14"/>
    </row>
    <row r="25" s="1" customFormat="1" ht="28.5" customHeight="1" spans="1:13">
      <c r="A25" s="4" t="s">
        <v>1</v>
      </c>
      <c r="B25" s="5" t="s">
        <v>147</v>
      </c>
      <c r="C25" s="5" t="s">
        <v>148</v>
      </c>
      <c r="D25" s="5"/>
      <c r="E25" s="5"/>
      <c r="F25" s="5"/>
      <c r="G25" s="5"/>
      <c r="H25" s="5"/>
      <c r="I25" s="5" t="s">
        <v>149</v>
      </c>
      <c r="J25" s="5"/>
      <c r="K25" s="5"/>
      <c r="L25" s="5"/>
      <c r="M25" s="15" t="s">
        <v>150</v>
      </c>
    </row>
    <row r="26" s="1" customFormat="1" ht="28.5" customHeight="1" spans="1:13">
      <c r="A26" s="6"/>
      <c r="B26" s="7"/>
      <c r="C26" s="7" t="s">
        <v>151</v>
      </c>
      <c r="D26" s="7" t="s">
        <v>152</v>
      </c>
      <c r="E26" s="7"/>
      <c r="F26" s="7" t="s">
        <v>153</v>
      </c>
      <c r="G26" s="7" t="s">
        <v>154</v>
      </c>
      <c r="H26" s="7" t="s">
        <v>12</v>
      </c>
      <c r="I26" s="7" t="s">
        <v>122</v>
      </c>
      <c r="J26" s="7" t="s">
        <v>155</v>
      </c>
      <c r="K26" s="7"/>
      <c r="L26" s="7" t="s">
        <v>156</v>
      </c>
      <c r="M26" s="16"/>
    </row>
    <row r="27" s="1" customFormat="1" ht="28.5" customHeight="1" spans="1:13">
      <c r="A27" s="6" t="s">
        <v>193</v>
      </c>
      <c r="B27" s="8" t="s">
        <v>194</v>
      </c>
      <c r="C27" s="9">
        <v>248.38</v>
      </c>
      <c r="D27" s="9"/>
      <c r="E27" s="9"/>
      <c r="F27" s="9"/>
      <c r="G27" s="9"/>
      <c r="H27" s="9">
        <v>248.38</v>
      </c>
      <c r="I27" s="7"/>
      <c r="J27" s="9"/>
      <c r="K27" s="9"/>
      <c r="L27" s="9"/>
      <c r="M27" s="17">
        <v>0.34</v>
      </c>
    </row>
    <row r="28" s="1" customFormat="1" ht="18.75" customHeight="1" spans="1:13">
      <c r="A28" s="6" t="s">
        <v>195</v>
      </c>
      <c r="B28" s="8" t="s">
        <v>196</v>
      </c>
      <c r="C28" s="9">
        <v>3211.71</v>
      </c>
      <c r="D28" s="9"/>
      <c r="E28" s="9"/>
      <c r="F28" s="9"/>
      <c r="G28" s="9"/>
      <c r="H28" s="9">
        <v>3211.71</v>
      </c>
      <c r="I28" s="7"/>
      <c r="J28" s="9"/>
      <c r="K28" s="9"/>
      <c r="L28" s="9"/>
      <c r="M28" s="17">
        <v>4.39</v>
      </c>
    </row>
    <row r="29" s="1" customFormat="1" ht="18.75" customHeight="1" spans="1:13">
      <c r="A29" s="6" t="s">
        <v>197</v>
      </c>
      <c r="B29" s="8" t="s">
        <v>198</v>
      </c>
      <c r="C29" s="9">
        <v>506.64</v>
      </c>
      <c r="D29" s="9"/>
      <c r="E29" s="9"/>
      <c r="F29" s="9"/>
      <c r="G29" s="9"/>
      <c r="H29" s="9">
        <v>506.64</v>
      </c>
      <c r="I29" s="7"/>
      <c r="J29" s="9"/>
      <c r="K29" s="9"/>
      <c r="L29" s="9"/>
      <c r="M29" s="17">
        <v>0.69</v>
      </c>
    </row>
    <row r="30" s="1" customFormat="1" ht="18.75" customHeight="1" spans="1:13">
      <c r="A30" s="6" t="s">
        <v>199</v>
      </c>
      <c r="B30" s="8" t="s">
        <v>200</v>
      </c>
      <c r="C30" s="9">
        <v>41780.48</v>
      </c>
      <c r="D30" s="9"/>
      <c r="E30" s="9"/>
      <c r="F30" s="9"/>
      <c r="G30" s="9"/>
      <c r="H30" s="9">
        <v>41780.48</v>
      </c>
      <c r="I30" s="7"/>
      <c r="J30" s="9"/>
      <c r="K30" s="9"/>
      <c r="L30" s="9"/>
      <c r="M30" s="17">
        <v>57.06</v>
      </c>
    </row>
    <row r="31" s="1" customFormat="1" ht="28.5" customHeight="1" spans="1:13">
      <c r="A31" s="6" t="s">
        <v>201</v>
      </c>
      <c r="B31" s="8" t="s">
        <v>202</v>
      </c>
      <c r="C31" s="9">
        <v>24649.65</v>
      </c>
      <c r="D31" s="9"/>
      <c r="E31" s="9"/>
      <c r="F31" s="9"/>
      <c r="G31" s="9"/>
      <c r="H31" s="9">
        <v>24649.65</v>
      </c>
      <c r="I31" s="7"/>
      <c r="J31" s="9"/>
      <c r="K31" s="9"/>
      <c r="L31" s="9"/>
      <c r="M31" s="17">
        <v>33.66</v>
      </c>
    </row>
    <row r="32" s="1" customFormat="1" ht="28.5" customHeight="1" spans="1:13">
      <c r="A32" s="6" t="s">
        <v>203</v>
      </c>
      <c r="B32" s="8" t="s">
        <v>204</v>
      </c>
      <c r="C32" s="9">
        <v>1431.1</v>
      </c>
      <c r="D32" s="9"/>
      <c r="E32" s="9"/>
      <c r="F32" s="9"/>
      <c r="G32" s="9"/>
      <c r="H32" s="9">
        <v>1431.1</v>
      </c>
      <c r="I32" s="7"/>
      <c r="J32" s="9"/>
      <c r="K32" s="9"/>
      <c r="L32" s="9"/>
      <c r="M32" s="17">
        <v>1.95</v>
      </c>
    </row>
    <row r="33" s="1" customFormat="1" ht="18.75" customHeight="1" spans="1:13">
      <c r="A33" s="6" t="s">
        <v>205</v>
      </c>
      <c r="B33" s="8" t="s">
        <v>206</v>
      </c>
      <c r="C33" s="9">
        <v>13695.63</v>
      </c>
      <c r="D33" s="9"/>
      <c r="E33" s="9"/>
      <c r="F33" s="9"/>
      <c r="G33" s="9"/>
      <c r="H33" s="9">
        <v>13695.63</v>
      </c>
      <c r="I33" s="7"/>
      <c r="J33" s="9"/>
      <c r="K33" s="9"/>
      <c r="L33" s="9"/>
      <c r="M33" s="17">
        <v>18.7</v>
      </c>
    </row>
    <row r="34" s="1" customFormat="1" ht="18.75" customHeight="1" spans="1:13">
      <c r="A34" s="6" t="s">
        <v>207</v>
      </c>
      <c r="B34" s="8" t="s">
        <v>208</v>
      </c>
      <c r="C34" s="9">
        <v>2004.1</v>
      </c>
      <c r="D34" s="9"/>
      <c r="E34" s="9"/>
      <c r="F34" s="9"/>
      <c r="G34" s="9"/>
      <c r="H34" s="9">
        <v>2004.1</v>
      </c>
      <c r="I34" s="7"/>
      <c r="J34" s="9"/>
      <c r="K34" s="9"/>
      <c r="L34" s="9"/>
      <c r="M34" s="17">
        <v>2.74</v>
      </c>
    </row>
    <row r="35" s="1" customFormat="1" ht="18.75" customHeight="1" spans="1:13">
      <c r="A35" s="6" t="s">
        <v>209</v>
      </c>
      <c r="B35" s="8" t="s">
        <v>210</v>
      </c>
      <c r="C35" s="9"/>
      <c r="D35" s="9">
        <v>3676.37</v>
      </c>
      <c r="E35" s="9"/>
      <c r="F35" s="9"/>
      <c r="G35" s="9"/>
      <c r="H35" s="9">
        <v>3676.37</v>
      </c>
      <c r="I35" s="7"/>
      <c r="J35" s="9"/>
      <c r="K35" s="9"/>
      <c r="L35" s="9"/>
      <c r="M35" s="17">
        <v>5.02</v>
      </c>
    </row>
    <row r="36" s="1" customFormat="1" ht="18.75" customHeight="1" spans="1:13">
      <c r="A36" s="6" t="s">
        <v>211</v>
      </c>
      <c r="B36" s="8" t="s">
        <v>210</v>
      </c>
      <c r="C36" s="9"/>
      <c r="D36" s="9">
        <v>3676.37</v>
      </c>
      <c r="E36" s="9"/>
      <c r="F36" s="9"/>
      <c r="G36" s="9"/>
      <c r="H36" s="9">
        <v>3676.37</v>
      </c>
      <c r="I36" s="7"/>
      <c r="J36" s="9"/>
      <c r="K36" s="9"/>
      <c r="L36" s="9"/>
      <c r="M36" s="17">
        <v>5.02</v>
      </c>
    </row>
    <row r="37" s="1" customFormat="1" ht="18.75" customHeight="1" spans="1:13">
      <c r="A37" s="6" t="s">
        <v>212</v>
      </c>
      <c r="B37" s="8" t="s">
        <v>213</v>
      </c>
      <c r="C37" s="9">
        <v>1114.99</v>
      </c>
      <c r="D37" s="9"/>
      <c r="E37" s="9"/>
      <c r="F37" s="9"/>
      <c r="G37" s="9"/>
      <c r="H37" s="9">
        <v>1114.99</v>
      </c>
      <c r="I37" s="7"/>
      <c r="J37" s="9"/>
      <c r="K37" s="9"/>
      <c r="L37" s="9"/>
      <c r="M37" s="17">
        <v>1.52</v>
      </c>
    </row>
    <row r="38" s="1" customFormat="1" ht="18.75" customHeight="1" spans="1:13">
      <c r="A38" s="6" t="s">
        <v>214</v>
      </c>
      <c r="B38" s="8" t="s">
        <v>215</v>
      </c>
      <c r="C38" s="9">
        <v>1114.99</v>
      </c>
      <c r="D38" s="9"/>
      <c r="E38" s="9"/>
      <c r="F38" s="9"/>
      <c r="G38" s="9"/>
      <c r="H38" s="9">
        <v>1114.99</v>
      </c>
      <c r="I38" s="7"/>
      <c r="J38" s="9"/>
      <c r="K38" s="9"/>
      <c r="L38" s="9"/>
      <c r="M38" s="17">
        <v>1.52</v>
      </c>
    </row>
    <row r="39" s="1" customFormat="1" ht="18.75" customHeight="1" spans="1:13">
      <c r="A39" s="6" t="s">
        <v>216</v>
      </c>
      <c r="B39" s="8" t="s">
        <v>217</v>
      </c>
      <c r="C39" s="9"/>
      <c r="D39" s="9"/>
      <c r="E39" s="9"/>
      <c r="F39" s="9"/>
      <c r="G39" s="9"/>
      <c r="H39" s="9"/>
      <c r="I39" s="7"/>
      <c r="J39" s="9"/>
      <c r="K39" s="9"/>
      <c r="L39" s="9"/>
      <c r="M39" s="17"/>
    </row>
    <row r="40" s="1" customFormat="1" ht="18.75" customHeight="1" spans="1:13">
      <c r="A40" s="6" t="s">
        <v>218</v>
      </c>
      <c r="B40" s="8" t="s">
        <v>21</v>
      </c>
      <c r="C40" s="9"/>
      <c r="D40" s="9"/>
      <c r="E40" s="9"/>
      <c r="F40" s="9"/>
      <c r="G40" s="9"/>
      <c r="H40" s="9"/>
      <c r="I40" s="7"/>
      <c r="J40" s="9"/>
      <c r="K40" s="9"/>
      <c r="L40" s="9"/>
      <c r="M40" s="17"/>
    </row>
    <row r="41" s="1" customFormat="1" ht="18.75" customHeight="1" spans="1:13">
      <c r="A41" s="6" t="s">
        <v>219</v>
      </c>
      <c r="B41" s="8" t="s">
        <v>22</v>
      </c>
      <c r="C41" s="9"/>
      <c r="D41" s="9"/>
      <c r="E41" s="9"/>
      <c r="F41" s="9"/>
      <c r="G41" s="9"/>
      <c r="H41" s="9"/>
      <c r="I41" s="7" t="s">
        <v>220</v>
      </c>
      <c r="J41" s="9"/>
      <c r="K41" s="9"/>
      <c r="L41" s="9"/>
      <c r="M41" s="17"/>
    </row>
    <row r="42" s="1" customFormat="1" ht="18.75" customHeight="1" spans="1:13">
      <c r="A42" s="6" t="s">
        <v>221</v>
      </c>
      <c r="B42" s="8" t="s">
        <v>222</v>
      </c>
      <c r="C42" s="9"/>
      <c r="D42" s="9"/>
      <c r="E42" s="9"/>
      <c r="F42" s="9"/>
      <c r="G42" s="9"/>
      <c r="H42" s="9"/>
      <c r="I42" s="7" t="s">
        <v>220</v>
      </c>
      <c r="J42" s="9"/>
      <c r="K42" s="9"/>
      <c r="L42" s="9"/>
      <c r="M42" s="17"/>
    </row>
    <row r="43" s="1" customFormat="1" ht="18.75" customHeight="1" spans="1:13">
      <c r="A43" s="6" t="s">
        <v>223</v>
      </c>
      <c r="B43" s="8" t="s">
        <v>224</v>
      </c>
      <c r="C43" s="9"/>
      <c r="D43" s="9"/>
      <c r="E43" s="9"/>
      <c r="F43" s="9"/>
      <c r="G43" s="9"/>
      <c r="H43" s="9"/>
      <c r="I43" s="7" t="s">
        <v>220</v>
      </c>
      <c r="J43" s="9"/>
      <c r="K43" s="9"/>
      <c r="L43" s="9"/>
      <c r="M43" s="17"/>
    </row>
    <row r="44" s="1" customFormat="1" ht="18.75" customHeight="1" spans="1:13">
      <c r="A44" s="10" t="s">
        <v>225</v>
      </c>
      <c r="B44" s="11" t="s">
        <v>226</v>
      </c>
      <c r="C44" s="12"/>
      <c r="D44" s="12"/>
      <c r="E44" s="12"/>
      <c r="F44" s="12"/>
      <c r="G44" s="12"/>
      <c r="H44" s="12"/>
      <c r="I44" s="18" t="s">
        <v>220</v>
      </c>
      <c r="J44" s="12"/>
      <c r="K44" s="12"/>
      <c r="L44" s="12"/>
      <c r="M44" s="19"/>
    </row>
    <row r="45" s="1" customFormat="1" ht="39.75" customHeight="1" spans="1:13">
      <c r="A45" s="2" t="s">
        <v>144</v>
      </c>
      <c r="B45" s="2"/>
      <c r="C45" s="2"/>
      <c r="D45" s="2"/>
      <c r="E45" s="2"/>
      <c r="F45" s="2"/>
      <c r="G45" s="2"/>
      <c r="H45" s="2"/>
      <c r="I45" s="2"/>
      <c r="J45" s="2"/>
      <c r="K45" s="13"/>
      <c r="L45" s="13"/>
      <c r="M45" s="13"/>
    </row>
    <row r="46" s="1" customFormat="1" ht="28.5" customHeight="1" spans="1:13">
      <c r="A46" s="3" t="s">
        <v>145</v>
      </c>
      <c r="B46" s="3"/>
      <c r="C46" s="3"/>
      <c r="D46" s="3"/>
      <c r="E46" s="3"/>
      <c r="F46" s="3"/>
      <c r="G46" s="3"/>
      <c r="H46" s="3"/>
      <c r="I46" s="3"/>
      <c r="J46" s="3"/>
      <c r="K46" s="14" t="s">
        <v>227</v>
      </c>
      <c r="L46" s="14"/>
      <c r="M46" s="14"/>
    </row>
    <row r="47" s="1" customFormat="1" ht="28.5" customHeight="1" spans="1:13">
      <c r="A47" s="4" t="s">
        <v>1</v>
      </c>
      <c r="B47" s="5" t="s">
        <v>147</v>
      </c>
      <c r="C47" s="5" t="s">
        <v>148</v>
      </c>
      <c r="D47" s="5"/>
      <c r="E47" s="5"/>
      <c r="F47" s="5"/>
      <c r="G47" s="5"/>
      <c r="H47" s="5"/>
      <c r="I47" s="5" t="s">
        <v>149</v>
      </c>
      <c r="J47" s="5"/>
      <c r="K47" s="5"/>
      <c r="L47" s="5"/>
      <c r="M47" s="15" t="s">
        <v>150</v>
      </c>
    </row>
    <row r="48" s="1" customFormat="1" ht="28.5" customHeight="1" spans="1:13">
      <c r="A48" s="6"/>
      <c r="B48" s="7"/>
      <c r="C48" s="7" t="s">
        <v>151</v>
      </c>
      <c r="D48" s="7" t="s">
        <v>152</v>
      </c>
      <c r="E48" s="7"/>
      <c r="F48" s="7" t="s">
        <v>153</v>
      </c>
      <c r="G48" s="7" t="s">
        <v>154</v>
      </c>
      <c r="H48" s="7" t="s">
        <v>12</v>
      </c>
      <c r="I48" s="7" t="s">
        <v>122</v>
      </c>
      <c r="J48" s="7" t="s">
        <v>155</v>
      </c>
      <c r="K48" s="7"/>
      <c r="L48" s="7" t="s">
        <v>156</v>
      </c>
      <c r="M48" s="16"/>
    </row>
    <row r="49" s="1" customFormat="1" ht="18.75" customHeight="1" spans="1:13">
      <c r="A49" s="6" t="s">
        <v>228</v>
      </c>
      <c r="B49" s="8" t="s">
        <v>229</v>
      </c>
      <c r="C49" s="9"/>
      <c r="D49" s="9"/>
      <c r="E49" s="9"/>
      <c r="F49" s="9"/>
      <c r="G49" s="9"/>
      <c r="H49" s="9"/>
      <c r="I49" s="7" t="s">
        <v>220</v>
      </c>
      <c r="J49" s="9"/>
      <c r="K49" s="9"/>
      <c r="L49" s="9"/>
      <c r="M49" s="17"/>
    </row>
    <row r="50" s="1" customFormat="1" ht="18.75" customHeight="1" spans="1:13">
      <c r="A50" s="6" t="s">
        <v>230</v>
      </c>
      <c r="B50" s="8" t="s">
        <v>231</v>
      </c>
      <c r="C50" s="9"/>
      <c r="D50" s="9"/>
      <c r="E50" s="9"/>
      <c r="F50" s="9"/>
      <c r="G50" s="9"/>
      <c r="H50" s="9"/>
      <c r="I50" s="7" t="s">
        <v>220</v>
      </c>
      <c r="J50" s="9"/>
      <c r="K50" s="9"/>
      <c r="L50" s="9"/>
      <c r="M50" s="17"/>
    </row>
    <row r="51" s="1" customFormat="1" ht="18.75" customHeight="1" spans="1:13">
      <c r="A51" s="6" t="s">
        <v>232</v>
      </c>
      <c r="B51" s="8" t="s">
        <v>233</v>
      </c>
      <c r="C51" s="9"/>
      <c r="D51" s="9"/>
      <c r="E51" s="9"/>
      <c r="F51" s="9"/>
      <c r="G51" s="9"/>
      <c r="H51" s="9"/>
      <c r="I51" s="7" t="s">
        <v>220</v>
      </c>
      <c r="J51" s="9"/>
      <c r="K51" s="9"/>
      <c r="L51" s="9"/>
      <c r="M51" s="17"/>
    </row>
    <row r="52" s="1" customFormat="1" ht="18.75" customHeight="1" spans="1:13">
      <c r="A52" s="6" t="s">
        <v>234</v>
      </c>
      <c r="B52" s="8" t="s">
        <v>235</v>
      </c>
      <c r="C52" s="9"/>
      <c r="D52" s="9"/>
      <c r="E52" s="9"/>
      <c r="F52" s="9"/>
      <c r="G52" s="9"/>
      <c r="H52" s="9"/>
      <c r="I52" s="7" t="s">
        <v>220</v>
      </c>
      <c r="J52" s="9"/>
      <c r="K52" s="9"/>
      <c r="L52" s="9"/>
      <c r="M52" s="17"/>
    </row>
    <row r="53" s="1" customFormat="1" ht="18.75" customHeight="1" spans="1:13">
      <c r="A53" s="6" t="s">
        <v>236</v>
      </c>
      <c r="B53" s="8" t="s">
        <v>237</v>
      </c>
      <c r="C53" s="9"/>
      <c r="D53" s="9"/>
      <c r="E53" s="9"/>
      <c r="F53" s="9"/>
      <c r="G53" s="9"/>
      <c r="H53" s="9"/>
      <c r="I53" s="7" t="s">
        <v>220</v>
      </c>
      <c r="J53" s="9"/>
      <c r="K53" s="9"/>
      <c r="L53" s="9"/>
      <c r="M53" s="17"/>
    </row>
    <row r="54" s="1" customFormat="1" ht="18.75" customHeight="1" spans="1:13">
      <c r="A54" s="6" t="s">
        <v>238</v>
      </c>
      <c r="B54" s="8" t="s">
        <v>239</v>
      </c>
      <c r="C54" s="9"/>
      <c r="D54" s="9"/>
      <c r="E54" s="9"/>
      <c r="F54" s="9"/>
      <c r="G54" s="9"/>
      <c r="H54" s="9"/>
      <c r="I54" s="7" t="s">
        <v>220</v>
      </c>
      <c r="J54" s="9"/>
      <c r="K54" s="9"/>
      <c r="L54" s="9"/>
      <c r="M54" s="17"/>
    </row>
    <row r="55" s="1" customFormat="1" ht="18.75" customHeight="1" spans="1:13">
      <c r="A55" s="6" t="s">
        <v>240</v>
      </c>
      <c r="B55" s="8" t="s">
        <v>241</v>
      </c>
      <c r="C55" s="9"/>
      <c r="D55" s="9"/>
      <c r="E55" s="9"/>
      <c r="F55" s="9"/>
      <c r="G55" s="9"/>
      <c r="H55" s="9"/>
      <c r="I55" s="7" t="s">
        <v>220</v>
      </c>
      <c r="J55" s="9"/>
      <c r="K55" s="9"/>
      <c r="L55" s="9"/>
      <c r="M55" s="17"/>
    </row>
    <row r="56" s="1" customFormat="1" ht="18.75" customHeight="1" spans="1:13">
      <c r="A56" s="6" t="s">
        <v>242</v>
      </c>
      <c r="B56" s="8" t="s">
        <v>243</v>
      </c>
      <c r="C56" s="9"/>
      <c r="D56" s="9"/>
      <c r="E56" s="9"/>
      <c r="F56" s="9"/>
      <c r="G56" s="9"/>
      <c r="H56" s="9"/>
      <c r="I56" s="7" t="s">
        <v>220</v>
      </c>
      <c r="J56" s="9"/>
      <c r="K56" s="9"/>
      <c r="L56" s="9"/>
      <c r="M56" s="17"/>
    </row>
    <row r="57" s="1" customFormat="1" ht="18.75" customHeight="1" spans="1:13">
      <c r="A57" s="6" t="s">
        <v>244</v>
      </c>
      <c r="B57" s="8" t="s">
        <v>28</v>
      </c>
      <c r="C57" s="9"/>
      <c r="D57" s="9"/>
      <c r="E57" s="9"/>
      <c r="F57" s="9"/>
      <c r="G57" s="9"/>
      <c r="H57" s="9"/>
      <c r="I57" s="7" t="s">
        <v>220</v>
      </c>
      <c r="J57" s="9"/>
      <c r="K57" s="9"/>
      <c r="L57" s="9"/>
      <c r="M57" s="17"/>
    </row>
    <row r="58" s="1" customFormat="1" ht="18.75" customHeight="1" spans="1:13">
      <c r="A58" s="6" t="s">
        <v>245</v>
      </c>
      <c r="B58" s="8" t="s">
        <v>246</v>
      </c>
      <c r="C58" s="9"/>
      <c r="D58" s="9"/>
      <c r="E58" s="9"/>
      <c r="F58" s="9"/>
      <c r="G58" s="9"/>
      <c r="H58" s="9"/>
      <c r="I58" s="7" t="s">
        <v>220</v>
      </c>
      <c r="J58" s="9"/>
      <c r="K58" s="9"/>
      <c r="L58" s="9"/>
      <c r="M58" s="17"/>
    </row>
    <row r="59" s="1" customFormat="1" ht="18.75" customHeight="1" spans="1:13">
      <c r="A59" s="6" t="s">
        <v>247</v>
      </c>
      <c r="B59" s="8" t="s">
        <v>248</v>
      </c>
      <c r="C59" s="9"/>
      <c r="D59" s="9"/>
      <c r="E59" s="9"/>
      <c r="F59" s="9"/>
      <c r="G59" s="9"/>
      <c r="H59" s="9"/>
      <c r="I59" s="7" t="s">
        <v>220</v>
      </c>
      <c r="J59" s="9"/>
      <c r="K59" s="9"/>
      <c r="L59" s="9"/>
      <c r="M59" s="17"/>
    </row>
    <row r="60" s="1" customFormat="1" ht="18.75" customHeight="1" spans="1:13">
      <c r="A60" s="6" t="s">
        <v>249</v>
      </c>
      <c r="B60" s="8" t="s">
        <v>250</v>
      </c>
      <c r="C60" s="9"/>
      <c r="D60" s="9"/>
      <c r="E60" s="9"/>
      <c r="F60" s="9"/>
      <c r="G60" s="9"/>
      <c r="H60" s="9"/>
      <c r="I60" s="7" t="s">
        <v>220</v>
      </c>
      <c r="J60" s="9"/>
      <c r="K60" s="9"/>
      <c r="L60" s="9"/>
      <c r="M60" s="17"/>
    </row>
    <row r="61" s="1" customFormat="1" ht="18.75" customHeight="1" spans="1:13">
      <c r="A61" s="6" t="s">
        <v>251</v>
      </c>
      <c r="B61" s="8" t="s">
        <v>252</v>
      </c>
      <c r="C61" s="9"/>
      <c r="D61" s="9"/>
      <c r="E61" s="9"/>
      <c r="F61" s="9"/>
      <c r="G61" s="9"/>
      <c r="H61" s="9"/>
      <c r="I61" s="7" t="s">
        <v>220</v>
      </c>
      <c r="J61" s="9"/>
      <c r="K61" s="9"/>
      <c r="L61" s="9"/>
      <c r="M61" s="17"/>
    </row>
    <row r="62" s="1" customFormat="1" ht="18.75" customHeight="1" spans="1:13">
      <c r="A62" s="6" t="s">
        <v>253</v>
      </c>
      <c r="B62" s="8" t="s">
        <v>254</v>
      </c>
      <c r="C62" s="9"/>
      <c r="D62" s="9"/>
      <c r="E62" s="9"/>
      <c r="F62" s="9"/>
      <c r="G62" s="9"/>
      <c r="H62" s="9"/>
      <c r="I62" s="7" t="s">
        <v>220</v>
      </c>
      <c r="J62" s="9"/>
      <c r="K62" s="9"/>
      <c r="L62" s="9"/>
      <c r="M62" s="17"/>
    </row>
    <row r="63" s="1" customFormat="1" ht="18.75" customHeight="1" spans="1:13">
      <c r="A63" s="6" t="s">
        <v>255</v>
      </c>
      <c r="B63" s="8" t="s">
        <v>256</v>
      </c>
      <c r="C63" s="9"/>
      <c r="D63" s="9"/>
      <c r="E63" s="9"/>
      <c r="F63" s="9"/>
      <c r="G63" s="9"/>
      <c r="H63" s="9"/>
      <c r="I63" s="7" t="s">
        <v>220</v>
      </c>
      <c r="J63" s="9"/>
      <c r="K63" s="9"/>
      <c r="L63" s="9"/>
      <c r="M63" s="17"/>
    </row>
    <row r="64" s="1" customFormat="1" ht="18.75" customHeight="1" spans="1:13">
      <c r="A64" s="6" t="s">
        <v>257</v>
      </c>
      <c r="B64" s="8" t="s">
        <v>258</v>
      </c>
      <c r="C64" s="9"/>
      <c r="D64" s="9"/>
      <c r="E64" s="9"/>
      <c r="F64" s="9"/>
      <c r="G64" s="9"/>
      <c r="H64" s="9"/>
      <c r="I64" s="7" t="s">
        <v>220</v>
      </c>
      <c r="J64" s="9"/>
      <c r="K64" s="9"/>
      <c r="L64" s="9"/>
      <c r="M64" s="17"/>
    </row>
    <row r="65" s="1" customFormat="1" ht="18.75" customHeight="1" spans="1:13">
      <c r="A65" s="6" t="s">
        <v>259</v>
      </c>
      <c r="B65" s="8" t="s">
        <v>260</v>
      </c>
      <c r="C65" s="9"/>
      <c r="D65" s="9"/>
      <c r="E65" s="9"/>
      <c r="F65" s="9"/>
      <c r="G65" s="9"/>
      <c r="H65" s="9"/>
      <c r="I65" s="7" t="s">
        <v>220</v>
      </c>
      <c r="J65" s="9"/>
      <c r="K65" s="9"/>
      <c r="L65" s="9"/>
      <c r="M65" s="17"/>
    </row>
    <row r="66" s="1" customFormat="1" ht="18.75" customHeight="1" spans="1:13">
      <c r="A66" s="6" t="s">
        <v>261</v>
      </c>
      <c r="B66" s="8" t="s">
        <v>262</v>
      </c>
      <c r="C66" s="9"/>
      <c r="D66" s="9"/>
      <c r="E66" s="9"/>
      <c r="F66" s="9"/>
      <c r="G66" s="9"/>
      <c r="H66" s="9"/>
      <c r="I66" s="7" t="s">
        <v>220</v>
      </c>
      <c r="J66" s="9"/>
      <c r="K66" s="9"/>
      <c r="L66" s="9"/>
      <c r="M66" s="17"/>
    </row>
    <row r="67" s="1" customFormat="1" ht="18.75" customHeight="1" spans="1:13">
      <c r="A67" s="6" t="s">
        <v>263</v>
      </c>
      <c r="B67" s="8" t="s">
        <v>264</v>
      </c>
      <c r="C67" s="9"/>
      <c r="D67" s="9"/>
      <c r="E67" s="9"/>
      <c r="F67" s="9"/>
      <c r="G67" s="9"/>
      <c r="H67" s="9"/>
      <c r="I67" s="7" t="s">
        <v>220</v>
      </c>
      <c r="J67" s="9"/>
      <c r="K67" s="9"/>
      <c r="L67" s="9"/>
      <c r="M67" s="17"/>
    </row>
    <row r="68" s="1" customFormat="1" ht="18.75" customHeight="1" spans="1:13">
      <c r="A68" s="10" t="s">
        <v>265</v>
      </c>
      <c r="B68" s="11" t="s">
        <v>266</v>
      </c>
      <c r="C68" s="12"/>
      <c r="D68" s="12"/>
      <c r="E68" s="12"/>
      <c r="F68" s="12"/>
      <c r="G68" s="12"/>
      <c r="H68" s="12"/>
      <c r="I68" s="18" t="s">
        <v>220</v>
      </c>
      <c r="J68" s="12"/>
      <c r="K68" s="12"/>
      <c r="L68" s="12"/>
      <c r="M68" s="19"/>
    </row>
    <row r="69" s="1" customFormat="1" ht="39.75" customHeight="1" spans="1:13">
      <c r="A69" s="2" t="s">
        <v>144</v>
      </c>
      <c r="B69" s="2"/>
      <c r="C69" s="2"/>
      <c r="D69" s="2"/>
      <c r="E69" s="2"/>
      <c r="F69" s="2"/>
      <c r="G69" s="2"/>
      <c r="H69" s="2"/>
      <c r="I69" s="2"/>
      <c r="J69" s="2"/>
      <c r="K69" s="13"/>
      <c r="L69" s="13"/>
      <c r="M69" s="13"/>
    </row>
    <row r="70" s="1" customFormat="1" ht="28.5" customHeight="1" spans="1:13">
      <c r="A70" s="3" t="s">
        <v>145</v>
      </c>
      <c r="B70" s="3"/>
      <c r="C70" s="3"/>
      <c r="D70" s="3"/>
      <c r="E70" s="3"/>
      <c r="F70" s="3"/>
      <c r="G70" s="3"/>
      <c r="H70" s="3"/>
      <c r="I70" s="3"/>
      <c r="J70" s="3"/>
      <c r="K70" s="14" t="s">
        <v>267</v>
      </c>
      <c r="L70" s="14"/>
      <c r="M70" s="14"/>
    </row>
    <row r="71" s="1" customFormat="1" ht="28.5" customHeight="1" spans="1:13">
      <c r="A71" s="4" t="s">
        <v>1</v>
      </c>
      <c r="B71" s="5" t="s">
        <v>147</v>
      </c>
      <c r="C71" s="5" t="s">
        <v>148</v>
      </c>
      <c r="D71" s="5"/>
      <c r="E71" s="5"/>
      <c r="F71" s="5"/>
      <c r="G71" s="5"/>
      <c r="H71" s="5"/>
      <c r="I71" s="5" t="s">
        <v>149</v>
      </c>
      <c r="J71" s="5"/>
      <c r="K71" s="5"/>
      <c r="L71" s="5"/>
      <c r="M71" s="15" t="s">
        <v>150</v>
      </c>
    </row>
    <row r="72" s="1" customFormat="1" ht="28.5" customHeight="1" spans="1:13">
      <c r="A72" s="6"/>
      <c r="B72" s="7"/>
      <c r="C72" s="7" t="s">
        <v>151</v>
      </c>
      <c r="D72" s="7" t="s">
        <v>152</v>
      </c>
      <c r="E72" s="7"/>
      <c r="F72" s="7" t="s">
        <v>153</v>
      </c>
      <c r="G72" s="7" t="s">
        <v>154</v>
      </c>
      <c r="H72" s="7" t="s">
        <v>12</v>
      </c>
      <c r="I72" s="7" t="s">
        <v>122</v>
      </c>
      <c r="J72" s="7" t="s">
        <v>155</v>
      </c>
      <c r="K72" s="7"/>
      <c r="L72" s="7" t="s">
        <v>156</v>
      </c>
      <c r="M72" s="16"/>
    </row>
    <row r="73" s="1" customFormat="1" ht="18.75" customHeight="1" spans="1:13">
      <c r="A73" s="6" t="s">
        <v>268</v>
      </c>
      <c r="B73" s="8" t="s">
        <v>41</v>
      </c>
      <c r="C73" s="9"/>
      <c r="D73" s="9"/>
      <c r="E73" s="9"/>
      <c r="F73" s="9"/>
      <c r="G73" s="9"/>
      <c r="H73" s="9"/>
      <c r="I73" s="7" t="s">
        <v>220</v>
      </c>
      <c r="J73" s="9"/>
      <c r="K73" s="9"/>
      <c r="L73" s="9"/>
      <c r="M73" s="17"/>
    </row>
    <row r="74" s="1" customFormat="1" ht="18.75" customHeight="1" spans="1:13">
      <c r="A74" s="6" t="s">
        <v>269</v>
      </c>
      <c r="B74" s="8" t="s">
        <v>44</v>
      </c>
      <c r="C74" s="9"/>
      <c r="D74" s="9"/>
      <c r="E74" s="9"/>
      <c r="F74" s="9"/>
      <c r="G74" s="9"/>
      <c r="H74" s="9"/>
      <c r="I74" s="7" t="s">
        <v>220</v>
      </c>
      <c r="J74" s="9"/>
      <c r="K74" s="9"/>
      <c r="L74" s="9"/>
      <c r="M74" s="17"/>
    </row>
    <row r="75" s="1" customFormat="1" ht="18.75" customHeight="1" spans="1:13">
      <c r="A75" s="6" t="s">
        <v>270</v>
      </c>
      <c r="B75" s="8" t="s">
        <v>271</v>
      </c>
      <c r="C75" s="9"/>
      <c r="D75" s="9"/>
      <c r="E75" s="9"/>
      <c r="F75" s="9"/>
      <c r="G75" s="9"/>
      <c r="H75" s="9"/>
      <c r="I75" s="7" t="s">
        <v>220</v>
      </c>
      <c r="J75" s="9"/>
      <c r="K75" s="9"/>
      <c r="L75" s="9"/>
      <c r="M75" s="17"/>
    </row>
    <row r="76" s="1" customFormat="1" ht="18.75" customHeight="1" spans="1:13">
      <c r="A76" s="6" t="s">
        <v>272</v>
      </c>
      <c r="B76" s="8" t="s">
        <v>273</v>
      </c>
      <c r="C76" s="9"/>
      <c r="D76" s="9"/>
      <c r="E76" s="9"/>
      <c r="F76" s="9"/>
      <c r="G76" s="9"/>
      <c r="H76" s="9"/>
      <c r="I76" s="7" t="s">
        <v>220</v>
      </c>
      <c r="J76" s="9"/>
      <c r="K76" s="9"/>
      <c r="L76" s="9"/>
      <c r="M76" s="17"/>
    </row>
    <row r="77" s="1" customFormat="1" ht="18.75" customHeight="1" spans="1:13">
      <c r="A77" s="6" t="s">
        <v>274</v>
      </c>
      <c r="B77" s="8" t="s">
        <v>275</v>
      </c>
      <c r="C77" s="9"/>
      <c r="D77" s="9"/>
      <c r="E77" s="9"/>
      <c r="F77" s="9"/>
      <c r="G77" s="9"/>
      <c r="H77" s="9"/>
      <c r="I77" s="7" t="s">
        <v>220</v>
      </c>
      <c r="J77" s="9"/>
      <c r="K77" s="9"/>
      <c r="L77" s="9"/>
      <c r="M77" s="17"/>
    </row>
    <row r="78" s="1" customFormat="1" ht="18.75" customHeight="1" spans="1:13">
      <c r="A78" s="6" t="s">
        <v>276</v>
      </c>
      <c r="B78" s="8" t="s">
        <v>277</v>
      </c>
      <c r="C78" s="9"/>
      <c r="D78" s="9"/>
      <c r="E78" s="9"/>
      <c r="F78" s="9"/>
      <c r="G78" s="9"/>
      <c r="H78" s="9"/>
      <c r="I78" s="7" t="s">
        <v>220</v>
      </c>
      <c r="J78" s="9"/>
      <c r="K78" s="9"/>
      <c r="L78" s="9"/>
      <c r="M78" s="17"/>
    </row>
    <row r="79" s="1" customFormat="1" ht="18.75" customHeight="1" spans="1:13">
      <c r="A79" s="6" t="s">
        <v>278</v>
      </c>
      <c r="B79" s="8" t="s">
        <v>279</v>
      </c>
      <c r="C79" s="9"/>
      <c r="D79" s="9"/>
      <c r="E79" s="9"/>
      <c r="F79" s="9"/>
      <c r="G79" s="9"/>
      <c r="H79" s="9"/>
      <c r="I79" s="7" t="s">
        <v>220</v>
      </c>
      <c r="J79" s="9"/>
      <c r="K79" s="9"/>
      <c r="L79" s="9"/>
      <c r="M79" s="17"/>
    </row>
    <row r="80" s="1" customFormat="1" ht="18.75" customHeight="1" spans="1:13">
      <c r="A80" s="6" t="s">
        <v>280</v>
      </c>
      <c r="B80" s="8" t="s">
        <v>281</v>
      </c>
      <c r="C80" s="9"/>
      <c r="D80" s="9"/>
      <c r="E80" s="9"/>
      <c r="F80" s="9"/>
      <c r="G80" s="9"/>
      <c r="H80" s="9"/>
      <c r="I80" s="7" t="s">
        <v>220</v>
      </c>
      <c r="J80" s="9"/>
      <c r="K80" s="9"/>
      <c r="L80" s="9"/>
      <c r="M80" s="17"/>
    </row>
    <row r="81" s="1" customFormat="1" ht="18.75" customHeight="1" spans="1:13">
      <c r="A81" s="6" t="s">
        <v>282</v>
      </c>
      <c r="B81" s="8" t="s">
        <v>30</v>
      </c>
      <c r="C81" s="9"/>
      <c r="D81" s="9"/>
      <c r="E81" s="9"/>
      <c r="F81" s="9"/>
      <c r="G81" s="9"/>
      <c r="H81" s="9"/>
      <c r="I81" s="7" t="s">
        <v>220</v>
      </c>
      <c r="J81" s="9"/>
      <c r="K81" s="9"/>
      <c r="L81" s="9"/>
      <c r="M81" s="17"/>
    </row>
    <row r="82" s="1" customFormat="1" ht="18.75" customHeight="1" spans="1:13">
      <c r="A82" s="6" t="s">
        <v>283</v>
      </c>
      <c r="B82" s="8" t="s">
        <v>30</v>
      </c>
      <c r="C82" s="9"/>
      <c r="D82" s="9"/>
      <c r="E82" s="9"/>
      <c r="F82" s="9"/>
      <c r="G82" s="9"/>
      <c r="H82" s="9"/>
      <c r="I82" s="7" t="s">
        <v>220</v>
      </c>
      <c r="J82" s="9"/>
      <c r="K82" s="9"/>
      <c r="L82" s="9"/>
      <c r="M82" s="17"/>
    </row>
    <row r="83" s="1" customFormat="1" ht="18.75" customHeight="1" spans="1:13">
      <c r="A83" s="6" t="s">
        <v>284</v>
      </c>
      <c r="B83" s="8" t="s">
        <v>49</v>
      </c>
      <c r="C83" s="9"/>
      <c r="D83" s="9"/>
      <c r="E83" s="9"/>
      <c r="F83" s="9"/>
      <c r="G83" s="9"/>
      <c r="H83" s="9"/>
      <c r="I83" s="7" t="s">
        <v>220</v>
      </c>
      <c r="J83" s="9"/>
      <c r="K83" s="9"/>
      <c r="L83" s="9"/>
      <c r="M83" s="17"/>
    </row>
    <row r="84" s="1" customFormat="1" ht="18.75" customHeight="1" spans="1:13">
      <c r="A84" s="6" t="s">
        <v>285</v>
      </c>
      <c r="B84" s="8" t="s">
        <v>286</v>
      </c>
      <c r="C84" s="9"/>
      <c r="D84" s="9"/>
      <c r="E84" s="9"/>
      <c r="F84" s="9"/>
      <c r="G84" s="9"/>
      <c r="H84" s="9"/>
      <c r="I84" s="7" t="s">
        <v>220</v>
      </c>
      <c r="J84" s="9"/>
      <c r="K84" s="9"/>
      <c r="L84" s="9"/>
      <c r="M84" s="17"/>
    </row>
    <row r="85" s="1" customFormat="1" ht="18.75" customHeight="1" spans="1:13">
      <c r="A85" s="6" t="s">
        <v>287</v>
      </c>
      <c r="B85" s="8" t="s">
        <v>288</v>
      </c>
      <c r="C85" s="9"/>
      <c r="D85" s="9"/>
      <c r="E85" s="9"/>
      <c r="F85" s="9"/>
      <c r="G85" s="9"/>
      <c r="H85" s="9"/>
      <c r="I85" s="7" t="s">
        <v>220</v>
      </c>
      <c r="J85" s="9"/>
      <c r="K85" s="9"/>
      <c r="L85" s="9"/>
      <c r="M85" s="17"/>
    </row>
    <row r="86" s="1" customFormat="1" ht="18.75" customHeight="1" spans="1:13">
      <c r="A86" s="6" t="s">
        <v>289</v>
      </c>
      <c r="B86" s="8" t="s">
        <v>290</v>
      </c>
      <c r="C86" s="9"/>
      <c r="D86" s="9"/>
      <c r="E86" s="9"/>
      <c r="F86" s="9"/>
      <c r="G86" s="9"/>
      <c r="H86" s="9"/>
      <c r="I86" s="7" t="s">
        <v>220</v>
      </c>
      <c r="J86" s="9"/>
      <c r="K86" s="9"/>
      <c r="L86" s="9"/>
      <c r="M86" s="17"/>
    </row>
    <row r="87" s="1" customFormat="1" ht="18.75" customHeight="1" spans="1:13">
      <c r="A87" s="6" t="s">
        <v>291</v>
      </c>
      <c r="B87" s="8" t="s">
        <v>292</v>
      </c>
      <c r="C87" s="9"/>
      <c r="D87" s="9"/>
      <c r="E87" s="9"/>
      <c r="F87" s="9"/>
      <c r="G87" s="9"/>
      <c r="H87" s="9"/>
      <c r="I87" s="7" t="s">
        <v>220</v>
      </c>
      <c r="J87" s="9"/>
      <c r="K87" s="9"/>
      <c r="L87" s="9"/>
      <c r="M87" s="17"/>
    </row>
    <row r="88" s="1" customFormat="1" ht="18.75" customHeight="1" spans="1:13">
      <c r="A88" s="6" t="s">
        <v>293</v>
      </c>
      <c r="B88" s="8" t="s">
        <v>294</v>
      </c>
      <c r="C88" s="9"/>
      <c r="D88" s="9"/>
      <c r="E88" s="9"/>
      <c r="F88" s="9"/>
      <c r="G88" s="9"/>
      <c r="H88" s="9"/>
      <c r="I88" s="7" t="s">
        <v>220</v>
      </c>
      <c r="J88" s="9"/>
      <c r="K88" s="9"/>
      <c r="L88" s="9"/>
      <c r="M88" s="17"/>
    </row>
    <row r="89" s="1" customFormat="1" ht="18.75" customHeight="1" spans="1:13">
      <c r="A89" s="6" t="s">
        <v>295</v>
      </c>
      <c r="B89" s="8" t="s">
        <v>296</v>
      </c>
      <c r="C89" s="9"/>
      <c r="D89" s="9"/>
      <c r="E89" s="9"/>
      <c r="F89" s="9"/>
      <c r="G89" s="9"/>
      <c r="H89" s="9"/>
      <c r="I89" s="7" t="s">
        <v>220</v>
      </c>
      <c r="J89" s="9"/>
      <c r="K89" s="9"/>
      <c r="L89" s="9"/>
      <c r="M89" s="17"/>
    </row>
    <row r="90" s="1" customFormat="1" ht="18.75" customHeight="1" spans="1:13">
      <c r="A90" s="6" t="s">
        <v>297</v>
      </c>
      <c r="B90" s="8" t="s">
        <v>298</v>
      </c>
      <c r="C90" s="9"/>
      <c r="D90" s="9"/>
      <c r="E90" s="9"/>
      <c r="F90" s="9"/>
      <c r="G90" s="9"/>
      <c r="H90" s="9"/>
      <c r="I90" s="7" t="s">
        <v>220</v>
      </c>
      <c r="J90" s="9"/>
      <c r="K90" s="9"/>
      <c r="L90" s="9"/>
      <c r="M90" s="17"/>
    </row>
    <row r="91" s="1" customFormat="1" ht="28.5" customHeight="1" spans="1:13">
      <c r="A91" s="10" t="s">
        <v>299</v>
      </c>
      <c r="B91" s="11" t="s">
        <v>300</v>
      </c>
      <c r="C91" s="12"/>
      <c r="D91" s="12"/>
      <c r="E91" s="12"/>
      <c r="F91" s="12"/>
      <c r="G91" s="12"/>
      <c r="H91" s="12"/>
      <c r="I91" s="18" t="s">
        <v>220</v>
      </c>
      <c r="J91" s="12"/>
      <c r="K91" s="12"/>
      <c r="L91" s="12"/>
      <c r="M91" s="19"/>
    </row>
    <row r="92" s="1" customFormat="1" ht="39.75" customHeight="1" spans="1:13">
      <c r="A92" s="2" t="s">
        <v>144</v>
      </c>
      <c r="B92" s="2"/>
      <c r="C92" s="2"/>
      <c r="D92" s="2"/>
      <c r="E92" s="2"/>
      <c r="F92" s="2"/>
      <c r="G92" s="2"/>
      <c r="H92" s="2"/>
      <c r="I92" s="2"/>
      <c r="J92" s="2"/>
      <c r="K92" s="13"/>
      <c r="L92" s="13"/>
      <c r="M92" s="13"/>
    </row>
    <row r="93" s="1" customFormat="1" ht="28.5" customHeight="1" spans="1:13">
      <c r="A93" s="3" t="s">
        <v>145</v>
      </c>
      <c r="B93" s="3"/>
      <c r="C93" s="3"/>
      <c r="D93" s="3"/>
      <c r="E93" s="3"/>
      <c r="F93" s="3"/>
      <c r="G93" s="3"/>
      <c r="H93" s="3"/>
      <c r="I93" s="3"/>
      <c r="J93" s="3"/>
      <c r="K93" s="14" t="s">
        <v>301</v>
      </c>
      <c r="L93" s="14"/>
      <c r="M93" s="14"/>
    </row>
    <row r="94" s="1" customFormat="1" ht="28.5" customHeight="1" spans="1:13">
      <c r="A94" s="4" t="s">
        <v>1</v>
      </c>
      <c r="B94" s="5" t="s">
        <v>147</v>
      </c>
      <c r="C94" s="5" t="s">
        <v>148</v>
      </c>
      <c r="D94" s="5"/>
      <c r="E94" s="5"/>
      <c r="F94" s="5"/>
      <c r="G94" s="5"/>
      <c r="H94" s="5"/>
      <c r="I94" s="5" t="s">
        <v>149</v>
      </c>
      <c r="J94" s="5"/>
      <c r="K94" s="5"/>
      <c r="L94" s="5"/>
      <c r="M94" s="15" t="s">
        <v>150</v>
      </c>
    </row>
    <row r="95" s="1" customFormat="1" ht="28.5" customHeight="1" spans="1:13">
      <c r="A95" s="6"/>
      <c r="B95" s="7"/>
      <c r="C95" s="7" t="s">
        <v>151</v>
      </c>
      <c r="D95" s="7" t="s">
        <v>152</v>
      </c>
      <c r="E95" s="7"/>
      <c r="F95" s="7" t="s">
        <v>153</v>
      </c>
      <c r="G95" s="7" t="s">
        <v>154</v>
      </c>
      <c r="H95" s="7" t="s">
        <v>12</v>
      </c>
      <c r="I95" s="7" t="s">
        <v>122</v>
      </c>
      <c r="J95" s="7" t="s">
        <v>155</v>
      </c>
      <c r="K95" s="7"/>
      <c r="L95" s="7" t="s">
        <v>156</v>
      </c>
      <c r="M95" s="16"/>
    </row>
    <row r="96" s="1" customFormat="1" ht="18.75" customHeight="1" spans="1:13">
      <c r="A96" s="6" t="s">
        <v>302</v>
      </c>
      <c r="B96" s="8" t="s">
        <v>303</v>
      </c>
      <c r="C96" s="9"/>
      <c r="D96" s="9"/>
      <c r="E96" s="9"/>
      <c r="F96" s="9"/>
      <c r="G96" s="9"/>
      <c r="H96" s="9"/>
      <c r="I96" s="7" t="s">
        <v>220</v>
      </c>
      <c r="J96" s="9"/>
      <c r="K96" s="9"/>
      <c r="L96" s="9"/>
      <c r="M96" s="17"/>
    </row>
    <row r="97" s="1" customFormat="1" ht="18.75" customHeight="1" spans="1:13">
      <c r="A97" s="6" t="s">
        <v>304</v>
      </c>
      <c r="B97" s="8" t="s">
        <v>303</v>
      </c>
      <c r="C97" s="9"/>
      <c r="D97" s="9"/>
      <c r="E97" s="9"/>
      <c r="F97" s="9"/>
      <c r="G97" s="9"/>
      <c r="H97" s="9"/>
      <c r="I97" s="7" t="s">
        <v>220</v>
      </c>
      <c r="J97" s="9"/>
      <c r="K97" s="9"/>
      <c r="L97" s="9"/>
      <c r="M97" s="17"/>
    </row>
    <row r="98" s="1" customFormat="1" ht="18.75" customHeight="1" spans="1:13">
      <c r="A98" s="6" t="s">
        <v>305</v>
      </c>
      <c r="B98" s="8" t="s">
        <v>306</v>
      </c>
      <c r="C98" s="9"/>
      <c r="D98" s="9"/>
      <c r="E98" s="9"/>
      <c r="F98" s="9"/>
      <c r="G98" s="9"/>
      <c r="H98" s="9"/>
      <c r="I98" s="7" t="s">
        <v>220</v>
      </c>
      <c r="J98" s="9"/>
      <c r="K98" s="9"/>
      <c r="L98" s="9"/>
      <c r="M98" s="17"/>
    </row>
    <row r="99" s="1" customFormat="1" ht="18.75" customHeight="1" spans="1:13">
      <c r="A99" s="6" t="s">
        <v>307</v>
      </c>
      <c r="B99" s="8" t="s">
        <v>306</v>
      </c>
      <c r="C99" s="9"/>
      <c r="D99" s="9"/>
      <c r="E99" s="9"/>
      <c r="F99" s="9"/>
      <c r="G99" s="9"/>
      <c r="H99" s="9"/>
      <c r="I99" s="7" t="s">
        <v>220</v>
      </c>
      <c r="J99" s="9"/>
      <c r="K99" s="9"/>
      <c r="L99" s="9"/>
      <c r="M99" s="17"/>
    </row>
    <row r="100" s="1" customFormat="1" ht="18.75" customHeight="1" spans="1:13">
      <c r="A100" s="6" t="s">
        <v>308</v>
      </c>
      <c r="B100" s="8" t="s">
        <v>309</v>
      </c>
      <c r="C100" s="9"/>
      <c r="D100" s="9"/>
      <c r="E100" s="9"/>
      <c r="F100" s="9"/>
      <c r="G100" s="9"/>
      <c r="H100" s="9"/>
      <c r="I100" s="7" t="s">
        <v>220</v>
      </c>
      <c r="J100" s="9"/>
      <c r="K100" s="9"/>
      <c r="L100" s="9"/>
      <c r="M100" s="17"/>
    </row>
    <row r="101" s="1" customFormat="1" ht="18.75" customHeight="1" spans="1:13">
      <c r="A101" s="6" t="s">
        <v>310</v>
      </c>
      <c r="B101" s="8" t="s">
        <v>311</v>
      </c>
      <c r="C101" s="9"/>
      <c r="D101" s="9"/>
      <c r="E101" s="9"/>
      <c r="F101" s="9"/>
      <c r="G101" s="9"/>
      <c r="H101" s="9"/>
      <c r="I101" s="7" t="s">
        <v>220</v>
      </c>
      <c r="J101" s="9"/>
      <c r="K101" s="9"/>
      <c r="L101" s="9"/>
      <c r="M101" s="17"/>
    </row>
    <row r="102" s="1" customFormat="1" ht="18.75" customHeight="1" spans="1:13">
      <c r="A102" s="6" t="s">
        <v>312</v>
      </c>
      <c r="B102" s="8" t="s">
        <v>313</v>
      </c>
      <c r="C102" s="9"/>
      <c r="D102" s="9"/>
      <c r="E102" s="9"/>
      <c r="F102" s="9"/>
      <c r="G102" s="9"/>
      <c r="H102" s="9"/>
      <c r="I102" s="7" t="s">
        <v>220</v>
      </c>
      <c r="J102" s="9"/>
      <c r="K102" s="9"/>
      <c r="L102" s="9"/>
      <c r="M102" s="17"/>
    </row>
    <row r="103" s="1" customFormat="1" ht="28.5" customHeight="1" spans="1:13">
      <c r="A103" s="6" t="s">
        <v>314</v>
      </c>
      <c r="B103" s="8" t="s">
        <v>315</v>
      </c>
      <c r="C103" s="9"/>
      <c r="D103" s="9"/>
      <c r="E103" s="9"/>
      <c r="F103" s="9"/>
      <c r="G103" s="9"/>
      <c r="H103" s="9"/>
      <c r="I103" s="7" t="s">
        <v>220</v>
      </c>
      <c r="J103" s="9"/>
      <c r="K103" s="9"/>
      <c r="L103" s="9"/>
      <c r="M103" s="17"/>
    </row>
    <row r="104" s="1" customFormat="1" ht="18.75" customHeight="1" spans="1:13">
      <c r="A104" s="6" t="s">
        <v>316</v>
      </c>
      <c r="B104" s="8" t="s">
        <v>317</v>
      </c>
      <c r="C104" s="9"/>
      <c r="D104" s="9"/>
      <c r="E104" s="9"/>
      <c r="F104" s="9"/>
      <c r="G104" s="9"/>
      <c r="H104" s="9"/>
      <c r="I104" s="7" t="s">
        <v>220</v>
      </c>
      <c r="J104" s="9"/>
      <c r="K104" s="9"/>
      <c r="L104" s="9"/>
      <c r="M104" s="17"/>
    </row>
    <row r="105" s="1" customFormat="1" ht="18.75" customHeight="1" spans="1:13">
      <c r="A105" s="6" t="s">
        <v>318</v>
      </c>
      <c r="B105" s="8" t="s">
        <v>319</v>
      </c>
      <c r="C105" s="9"/>
      <c r="D105" s="9"/>
      <c r="E105" s="9"/>
      <c r="F105" s="9"/>
      <c r="G105" s="9"/>
      <c r="H105" s="9"/>
      <c r="I105" s="7" t="s">
        <v>220</v>
      </c>
      <c r="J105" s="9"/>
      <c r="K105" s="9"/>
      <c r="L105" s="9"/>
      <c r="M105" s="17"/>
    </row>
    <row r="106" s="1" customFormat="1" ht="18.75" customHeight="1" spans="1:13">
      <c r="A106" s="6" t="s">
        <v>320</v>
      </c>
      <c r="B106" s="8" t="s">
        <v>85</v>
      </c>
      <c r="C106" s="9"/>
      <c r="D106" s="9"/>
      <c r="E106" s="9"/>
      <c r="F106" s="9"/>
      <c r="G106" s="9"/>
      <c r="H106" s="9"/>
      <c r="I106" s="7" t="s">
        <v>220</v>
      </c>
      <c r="J106" s="9"/>
      <c r="K106" s="9"/>
      <c r="L106" s="9"/>
      <c r="M106" s="17"/>
    </row>
    <row r="107" s="1" customFormat="1" ht="18.75" customHeight="1" spans="1:13">
      <c r="A107" s="6" t="s">
        <v>321</v>
      </c>
      <c r="B107" s="8" t="s">
        <v>322</v>
      </c>
      <c r="C107" s="9"/>
      <c r="D107" s="9"/>
      <c r="E107" s="9"/>
      <c r="F107" s="9"/>
      <c r="G107" s="9"/>
      <c r="H107" s="9"/>
      <c r="I107" s="7" t="s">
        <v>220</v>
      </c>
      <c r="J107" s="9"/>
      <c r="K107" s="9"/>
      <c r="L107" s="9"/>
      <c r="M107" s="17"/>
    </row>
    <row r="108" s="1" customFormat="1" ht="18.75" customHeight="1" spans="1:13">
      <c r="A108" s="6" t="s">
        <v>323</v>
      </c>
      <c r="B108" s="8" t="s">
        <v>79</v>
      </c>
      <c r="C108" s="9"/>
      <c r="D108" s="9"/>
      <c r="E108" s="9"/>
      <c r="F108" s="9"/>
      <c r="G108" s="9"/>
      <c r="H108" s="9"/>
      <c r="I108" s="7" t="s">
        <v>220</v>
      </c>
      <c r="J108" s="9"/>
      <c r="K108" s="9"/>
      <c r="L108" s="9"/>
      <c r="M108" s="17"/>
    </row>
    <row r="109" s="1" customFormat="1" ht="18.75" customHeight="1" spans="1:13">
      <c r="A109" s="6" t="s">
        <v>324</v>
      </c>
      <c r="B109" s="8" t="s">
        <v>79</v>
      </c>
      <c r="C109" s="9"/>
      <c r="D109" s="9"/>
      <c r="E109" s="9"/>
      <c r="F109" s="9"/>
      <c r="G109" s="9"/>
      <c r="H109" s="9"/>
      <c r="I109" s="7" t="s">
        <v>220</v>
      </c>
      <c r="J109" s="9"/>
      <c r="K109" s="9"/>
      <c r="L109" s="9"/>
      <c r="M109" s="17"/>
    </row>
    <row r="110" s="1" customFormat="1" ht="18.75" customHeight="1" spans="1:13">
      <c r="A110" s="6" t="s">
        <v>325</v>
      </c>
      <c r="B110" s="8" t="s">
        <v>326</v>
      </c>
      <c r="C110" s="9"/>
      <c r="D110" s="9"/>
      <c r="E110" s="9"/>
      <c r="F110" s="9"/>
      <c r="G110" s="9"/>
      <c r="H110" s="9"/>
      <c r="I110" s="7" t="s">
        <v>220</v>
      </c>
      <c r="J110" s="9"/>
      <c r="K110" s="9"/>
      <c r="L110" s="9"/>
      <c r="M110" s="17"/>
    </row>
    <row r="111" s="1" customFormat="1" ht="18.75" customHeight="1" spans="1:13">
      <c r="A111" s="6" t="s">
        <v>327</v>
      </c>
      <c r="B111" s="8" t="s">
        <v>71</v>
      </c>
      <c r="C111" s="9"/>
      <c r="D111" s="9"/>
      <c r="E111" s="9"/>
      <c r="F111" s="9"/>
      <c r="G111" s="9"/>
      <c r="H111" s="9"/>
      <c r="I111" s="7" t="s">
        <v>220</v>
      </c>
      <c r="J111" s="9"/>
      <c r="K111" s="9"/>
      <c r="L111" s="9"/>
      <c r="M111" s="17"/>
    </row>
    <row r="112" s="1" customFormat="1" ht="18.75" customHeight="1" spans="1:13">
      <c r="A112" s="6" t="s">
        <v>328</v>
      </c>
      <c r="B112" s="8" t="s">
        <v>329</v>
      </c>
      <c r="C112" s="9"/>
      <c r="D112" s="9"/>
      <c r="E112" s="9"/>
      <c r="F112" s="9"/>
      <c r="G112" s="9"/>
      <c r="H112" s="9"/>
      <c r="I112" s="7" t="s">
        <v>220</v>
      </c>
      <c r="J112" s="9"/>
      <c r="K112" s="9"/>
      <c r="L112" s="9"/>
      <c r="M112" s="17"/>
    </row>
    <row r="113" s="1" customFormat="1" ht="28.5" customHeight="1" spans="1:13">
      <c r="A113" s="6" t="s">
        <v>330</v>
      </c>
      <c r="B113" s="8" t="s">
        <v>75</v>
      </c>
      <c r="C113" s="9"/>
      <c r="D113" s="9"/>
      <c r="E113" s="9"/>
      <c r="F113" s="9"/>
      <c r="G113" s="9"/>
      <c r="H113" s="9"/>
      <c r="I113" s="7" t="s">
        <v>220</v>
      </c>
      <c r="J113" s="9"/>
      <c r="K113" s="9"/>
      <c r="L113" s="9"/>
      <c r="M113" s="17"/>
    </row>
    <row r="114" s="1" customFormat="1" ht="20.25" customHeight="1" spans="1:13">
      <c r="A114" s="10" t="s">
        <v>331</v>
      </c>
      <c r="B114" s="11" t="s">
        <v>332</v>
      </c>
      <c r="C114" s="12"/>
      <c r="D114" s="12"/>
      <c r="E114" s="12"/>
      <c r="F114" s="12"/>
      <c r="G114" s="12"/>
      <c r="H114" s="12"/>
      <c r="I114" s="18" t="s">
        <v>220</v>
      </c>
      <c r="J114" s="12"/>
      <c r="K114" s="12"/>
      <c r="L114" s="12"/>
      <c r="M114" s="19"/>
    </row>
    <row r="115" s="1" customFormat="1" ht="39.75" customHeight="1" spans="1:13">
      <c r="A115" s="2" t="s">
        <v>144</v>
      </c>
      <c r="B115" s="2"/>
      <c r="C115" s="2"/>
      <c r="D115" s="2"/>
      <c r="E115" s="2"/>
      <c r="F115" s="2"/>
      <c r="G115" s="2"/>
      <c r="H115" s="2"/>
      <c r="I115" s="2"/>
      <c r="J115" s="2"/>
      <c r="K115" s="13"/>
      <c r="L115" s="13"/>
      <c r="M115" s="13"/>
    </row>
    <row r="116" s="1" customFormat="1" ht="28.5" customHeight="1" spans="1:13">
      <c r="A116" s="3" t="s">
        <v>145</v>
      </c>
      <c r="B116" s="3"/>
      <c r="C116" s="3"/>
      <c r="D116" s="3"/>
      <c r="E116" s="3"/>
      <c r="F116" s="3"/>
      <c r="G116" s="3"/>
      <c r="H116" s="3"/>
      <c r="I116" s="3"/>
      <c r="J116" s="3"/>
      <c r="K116" s="14" t="s">
        <v>333</v>
      </c>
      <c r="L116" s="14"/>
      <c r="M116" s="14"/>
    </row>
    <row r="117" s="1" customFormat="1" ht="28.5" customHeight="1" spans="1:13">
      <c r="A117" s="4" t="s">
        <v>1</v>
      </c>
      <c r="B117" s="5" t="s">
        <v>147</v>
      </c>
      <c r="C117" s="5" t="s">
        <v>148</v>
      </c>
      <c r="D117" s="5"/>
      <c r="E117" s="5"/>
      <c r="F117" s="5"/>
      <c r="G117" s="5"/>
      <c r="H117" s="5"/>
      <c r="I117" s="5" t="s">
        <v>149</v>
      </c>
      <c r="J117" s="5"/>
      <c r="K117" s="5"/>
      <c r="L117" s="5"/>
      <c r="M117" s="15" t="s">
        <v>150</v>
      </c>
    </row>
    <row r="118" s="1" customFormat="1" ht="28.5" customHeight="1" spans="1:13">
      <c r="A118" s="6"/>
      <c r="B118" s="7"/>
      <c r="C118" s="7" t="s">
        <v>151</v>
      </c>
      <c r="D118" s="7" t="s">
        <v>152</v>
      </c>
      <c r="E118" s="7"/>
      <c r="F118" s="7" t="s">
        <v>153</v>
      </c>
      <c r="G118" s="7" t="s">
        <v>154</v>
      </c>
      <c r="H118" s="7" t="s">
        <v>12</v>
      </c>
      <c r="I118" s="7" t="s">
        <v>122</v>
      </c>
      <c r="J118" s="7" t="s">
        <v>155</v>
      </c>
      <c r="K118" s="7"/>
      <c r="L118" s="7" t="s">
        <v>156</v>
      </c>
      <c r="M118" s="16"/>
    </row>
    <row r="119" s="1" customFormat="1" ht="18.75" customHeight="1" spans="1:13">
      <c r="A119" s="6"/>
      <c r="B119" s="8" t="s">
        <v>334</v>
      </c>
      <c r="C119" s="9"/>
      <c r="D119" s="9"/>
      <c r="E119" s="9"/>
      <c r="F119" s="9"/>
      <c r="G119" s="9"/>
      <c r="H119" s="9"/>
      <c r="I119" s="7"/>
      <c r="J119" s="9"/>
      <c r="K119" s="9"/>
      <c r="L119" s="9"/>
      <c r="M119" s="17"/>
    </row>
    <row r="120" s="1" customFormat="1" ht="18.75" customHeight="1" spans="1:13">
      <c r="A120" s="6" t="s">
        <v>335</v>
      </c>
      <c r="B120" s="8" t="s">
        <v>336</v>
      </c>
      <c r="C120" s="9"/>
      <c r="D120" s="9"/>
      <c r="E120" s="9"/>
      <c r="F120" s="9"/>
      <c r="G120" s="9"/>
      <c r="H120" s="9"/>
      <c r="I120" s="7" t="s">
        <v>220</v>
      </c>
      <c r="J120" s="9"/>
      <c r="K120" s="9"/>
      <c r="L120" s="9"/>
      <c r="M120" s="17"/>
    </row>
    <row r="121" s="1" customFormat="1" ht="18.75" customHeight="1" spans="1:13">
      <c r="A121" s="6" t="s">
        <v>337</v>
      </c>
      <c r="B121" s="8" t="s">
        <v>336</v>
      </c>
      <c r="C121" s="9"/>
      <c r="D121" s="9"/>
      <c r="E121" s="9"/>
      <c r="F121" s="9"/>
      <c r="G121" s="9"/>
      <c r="H121" s="9"/>
      <c r="I121" s="7" t="s">
        <v>220</v>
      </c>
      <c r="J121" s="9"/>
      <c r="K121" s="9"/>
      <c r="L121" s="9"/>
      <c r="M121" s="17"/>
    </row>
    <row r="122" s="1" customFormat="1" ht="28.5" customHeight="1" spans="1:13">
      <c r="A122" s="6" t="s">
        <v>338</v>
      </c>
      <c r="B122" s="8" t="s">
        <v>339</v>
      </c>
      <c r="C122" s="9"/>
      <c r="D122" s="9"/>
      <c r="E122" s="9"/>
      <c r="F122" s="9"/>
      <c r="G122" s="9"/>
      <c r="H122" s="9"/>
      <c r="I122" s="7" t="s">
        <v>220</v>
      </c>
      <c r="J122" s="9"/>
      <c r="K122" s="9"/>
      <c r="L122" s="9"/>
      <c r="M122" s="17"/>
    </row>
    <row r="123" s="1" customFormat="1" ht="28.5" customHeight="1" spans="1:13">
      <c r="A123" s="6" t="s">
        <v>340</v>
      </c>
      <c r="B123" s="8" t="s">
        <v>339</v>
      </c>
      <c r="C123" s="9"/>
      <c r="D123" s="9"/>
      <c r="E123" s="9"/>
      <c r="F123" s="9"/>
      <c r="G123" s="9"/>
      <c r="H123" s="9"/>
      <c r="I123" s="7" t="s">
        <v>220</v>
      </c>
      <c r="J123" s="9"/>
      <c r="K123" s="9"/>
      <c r="L123" s="9"/>
      <c r="M123" s="17"/>
    </row>
    <row r="124" s="1" customFormat="1" ht="18.75" customHeight="1" spans="1:13">
      <c r="A124" s="6" t="s">
        <v>341</v>
      </c>
      <c r="B124" s="8" t="s">
        <v>83</v>
      </c>
      <c r="C124" s="9"/>
      <c r="D124" s="9"/>
      <c r="E124" s="9"/>
      <c r="F124" s="9"/>
      <c r="G124" s="9"/>
      <c r="H124" s="9"/>
      <c r="I124" s="7" t="s">
        <v>220</v>
      </c>
      <c r="J124" s="9"/>
      <c r="K124" s="9"/>
      <c r="L124" s="9"/>
      <c r="M124" s="17"/>
    </row>
    <row r="125" s="1" customFormat="1" ht="18.75" customHeight="1" spans="1:13">
      <c r="A125" s="6" t="s">
        <v>342</v>
      </c>
      <c r="B125" s="8" t="s">
        <v>83</v>
      </c>
      <c r="C125" s="9"/>
      <c r="D125" s="9"/>
      <c r="E125" s="9"/>
      <c r="F125" s="9"/>
      <c r="G125" s="9"/>
      <c r="H125" s="9"/>
      <c r="I125" s="7" t="s">
        <v>220</v>
      </c>
      <c r="J125" s="9"/>
      <c r="K125" s="9"/>
      <c r="L125" s="9"/>
      <c r="M125" s="17"/>
    </row>
    <row r="126" s="1" customFormat="1" ht="18.75" customHeight="1" spans="1:13">
      <c r="A126" s="6" t="s">
        <v>343</v>
      </c>
      <c r="B126" s="8" t="s">
        <v>81</v>
      </c>
      <c r="C126" s="9"/>
      <c r="D126" s="9"/>
      <c r="E126" s="9"/>
      <c r="F126" s="9"/>
      <c r="G126" s="9"/>
      <c r="H126" s="9"/>
      <c r="I126" s="7" t="s">
        <v>220</v>
      </c>
      <c r="J126" s="9"/>
      <c r="K126" s="9"/>
      <c r="L126" s="9"/>
      <c r="M126" s="17"/>
    </row>
    <row r="127" s="1" customFormat="1" ht="18.75" customHeight="1" spans="1:13">
      <c r="A127" s="6" t="s">
        <v>344</v>
      </c>
      <c r="B127" s="8" t="s">
        <v>345</v>
      </c>
      <c r="C127" s="9"/>
      <c r="D127" s="9"/>
      <c r="E127" s="9"/>
      <c r="F127" s="9"/>
      <c r="G127" s="9"/>
      <c r="H127" s="9"/>
      <c r="I127" s="7" t="s">
        <v>220</v>
      </c>
      <c r="J127" s="9"/>
      <c r="K127" s="9"/>
      <c r="L127" s="9"/>
      <c r="M127" s="17"/>
    </row>
    <row r="128" s="1" customFormat="1" ht="18.75" customHeight="1" spans="1:13">
      <c r="A128" s="6" t="s">
        <v>346</v>
      </c>
      <c r="B128" s="8" t="s">
        <v>347</v>
      </c>
      <c r="C128" s="9"/>
      <c r="D128" s="9"/>
      <c r="E128" s="9"/>
      <c r="F128" s="9"/>
      <c r="G128" s="9"/>
      <c r="H128" s="9"/>
      <c r="I128" s="7" t="s">
        <v>220</v>
      </c>
      <c r="J128" s="9"/>
      <c r="K128" s="9"/>
      <c r="L128" s="9"/>
      <c r="M128" s="17"/>
    </row>
    <row r="129" s="1" customFormat="1" ht="18.75" customHeight="1" spans="1:13">
      <c r="A129" s="6" t="s">
        <v>348</v>
      </c>
      <c r="B129" s="8" t="s">
        <v>349</v>
      </c>
      <c r="C129" s="9"/>
      <c r="D129" s="9"/>
      <c r="E129" s="9"/>
      <c r="F129" s="9"/>
      <c r="G129" s="9"/>
      <c r="H129" s="9"/>
      <c r="I129" s="7" t="s">
        <v>220</v>
      </c>
      <c r="J129" s="9"/>
      <c r="K129" s="9"/>
      <c r="L129" s="9"/>
      <c r="M129" s="17"/>
    </row>
    <row r="130" s="1" customFormat="1" ht="18.75" customHeight="1" spans="1:13">
      <c r="A130" s="6" t="s">
        <v>350</v>
      </c>
      <c r="B130" s="8" t="s">
        <v>86</v>
      </c>
      <c r="C130" s="9"/>
      <c r="D130" s="9"/>
      <c r="E130" s="9"/>
      <c r="F130" s="9"/>
      <c r="G130" s="9"/>
      <c r="H130" s="9"/>
      <c r="I130" s="7" t="s">
        <v>220</v>
      </c>
      <c r="J130" s="9"/>
      <c r="K130" s="9"/>
      <c r="L130" s="9"/>
      <c r="M130" s="17"/>
    </row>
    <row r="131" s="1" customFormat="1" ht="18.75" customHeight="1" spans="1:13">
      <c r="A131" s="6" t="s">
        <v>351</v>
      </c>
      <c r="B131" s="8" t="s">
        <v>352</v>
      </c>
      <c r="C131" s="9"/>
      <c r="D131" s="9"/>
      <c r="E131" s="9"/>
      <c r="F131" s="9"/>
      <c r="G131" s="9"/>
      <c r="H131" s="9"/>
      <c r="I131" s="7" t="s">
        <v>220</v>
      </c>
      <c r="J131" s="9"/>
      <c r="K131" s="9"/>
      <c r="L131" s="9"/>
      <c r="M131" s="17"/>
    </row>
    <row r="132" s="1" customFormat="1" ht="18.75" customHeight="1" spans="1:13">
      <c r="A132" s="6" t="s">
        <v>353</v>
      </c>
      <c r="B132" s="8" t="s">
        <v>354</v>
      </c>
      <c r="C132" s="9"/>
      <c r="D132" s="9"/>
      <c r="E132" s="9"/>
      <c r="F132" s="9"/>
      <c r="G132" s="9"/>
      <c r="H132" s="9"/>
      <c r="I132" s="7" t="s">
        <v>220</v>
      </c>
      <c r="J132" s="9"/>
      <c r="K132" s="9"/>
      <c r="L132" s="9"/>
      <c r="M132" s="17"/>
    </row>
    <row r="133" s="1" customFormat="1" ht="18.75" customHeight="1" spans="1:13">
      <c r="A133" s="6" t="s">
        <v>355</v>
      </c>
      <c r="B133" s="8" t="s">
        <v>356</v>
      </c>
      <c r="C133" s="9"/>
      <c r="D133" s="9"/>
      <c r="E133" s="9"/>
      <c r="F133" s="9"/>
      <c r="G133" s="9"/>
      <c r="H133" s="9"/>
      <c r="I133" s="7" t="s">
        <v>220</v>
      </c>
      <c r="J133" s="9"/>
      <c r="K133" s="9"/>
      <c r="L133" s="9"/>
      <c r="M133" s="17"/>
    </row>
    <row r="134" s="1" customFormat="1" ht="18.75" customHeight="1" spans="1:13">
      <c r="A134" s="6" t="s">
        <v>357</v>
      </c>
      <c r="B134" s="8" t="s">
        <v>358</v>
      </c>
      <c r="C134" s="9"/>
      <c r="D134" s="9"/>
      <c r="E134" s="9"/>
      <c r="F134" s="9"/>
      <c r="G134" s="9"/>
      <c r="H134" s="9"/>
      <c r="I134" s="7" t="s">
        <v>220</v>
      </c>
      <c r="J134" s="9"/>
      <c r="K134" s="9"/>
      <c r="L134" s="9"/>
      <c r="M134" s="17"/>
    </row>
    <row r="135" s="1" customFormat="1" ht="18.75" customHeight="1" spans="1:13">
      <c r="A135" s="6" t="s">
        <v>359</v>
      </c>
      <c r="B135" s="8" t="s">
        <v>360</v>
      </c>
      <c r="C135" s="9"/>
      <c r="D135" s="9"/>
      <c r="E135" s="9"/>
      <c r="F135" s="9"/>
      <c r="G135" s="9"/>
      <c r="H135" s="9"/>
      <c r="I135" s="7" t="s">
        <v>220</v>
      </c>
      <c r="J135" s="9"/>
      <c r="K135" s="9"/>
      <c r="L135" s="9"/>
      <c r="M135" s="17"/>
    </row>
    <row r="136" s="1" customFormat="1" ht="18.75" customHeight="1" spans="1:13">
      <c r="A136" s="6" t="s">
        <v>361</v>
      </c>
      <c r="B136" s="8" t="s">
        <v>360</v>
      </c>
      <c r="C136" s="9"/>
      <c r="D136" s="9"/>
      <c r="E136" s="9"/>
      <c r="F136" s="9"/>
      <c r="G136" s="9"/>
      <c r="H136" s="9"/>
      <c r="I136" s="7" t="s">
        <v>220</v>
      </c>
      <c r="J136" s="9"/>
      <c r="K136" s="9"/>
      <c r="L136" s="9"/>
      <c r="M136" s="17"/>
    </row>
    <row r="137" s="1" customFormat="1" ht="18.75" customHeight="1" spans="1:13">
      <c r="A137" s="10" t="s">
        <v>362</v>
      </c>
      <c r="B137" s="11" t="s">
        <v>363</v>
      </c>
      <c r="C137" s="12"/>
      <c r="D137" s="12"/>
      <c r="E137" s="12"/>
      <c r="F137" s="12"/>
      <c r="G137" s="12"/>
      <c r="H137" s="12"/>
      <c r="I137" s="18" t="s">
        <v>220</v>
      </c>
      <c r="J137" s="12"/>
      <c r="K137" s="12"/>
      <c r="L137" s="12"/>
      <c r="M137" s="19"/>
    </row>
    <row r="138" s="1" customFormat="1" ht="39.75" customHeight="1" spans="1:13">
      <c r="A138" s="2" t="s">
        <v>144</v>
      </c>
      <c r="B138" s="2"/>
      <c r="C138" s="2"/>
      <c r="D138" s="2"/>
      <c r="E138" s="2"/>
      <c r="F138" s="2"/>
      <c r="G138" s="2"/>
      <c r="H138" s="2"/>
      <c r="I138" s="2"/>
      <c r="J138" s="2"/>
      <c r="K138" s="13"/>
      <c r="L138" s="13"/>
      <c r="M138" s="13"/>
    </row>
    <row r="139" s="1" customFormat="1" ht="28.5" customHeight="1" spans="1:13">
      <c r="A139" s="3" t="s">
        <v>145</v>
      </c>
      <c r="B139" s="3"/>
      <c r="C139" s="3"/>
      <c r="D139" s="3"/>
      <c r="E139" s="3"/>
      <c r="F139" s="3"/>
      <c r="G139" s="3"/>
      <c r="H139" s="3"/>
      <c r="I139" s="3"/>
      <c r="J139" s="3"/>
      <c r="K139" s="14" t="s">
        <v>364</v>
      </c>
      <c r="L139" s="14"/>
      <c r="M139" s="14"/>
    </row>
    <row r="140" s="1" customFormat="1" ht="28.5" customHeight="1" spans="1:13">
      <c r="A140" s="4" t="s">
        <v>1</v>
      </c>
      <c r="B140" s="5" t="s">
        <v>147</v>
      </c>
      <c r="C140" s="5" t="s">
        <v>148</v>
      </c>
      <c r="D140" s="5"/>
      <c r="E140" s="5"/>
      <c r="F140" s="5"/>
      <c r="G140" s="5"/>
      <c r="H140" s="5"/>
      <c r="I140" s="5" t="s">
        <v>149</v>
      </c>
      <c r="J140" s="5"/>
      <c r="K140" s="5"/>
      <c r="L140" s="5"/>
      <c r="M140" s="15" t="s">
        <v>150</v>
      </c>
    </row>
    <row r="141" s="1" customFormat="1" ht="28.5" customHeight="1" spans="1:13">
      <c r="A141" s="6"/>
      <c r="B141" s="7"/>
      <c r="C141" s="7" t="s">
        <v>151</v>
      </c>
      <c r="D141" s="7" t="s">
        <v>152</v>
      </c>
      <c r="E141" s="7"/>
      <c r="F141" s="7" t="s">
        <v>153</v>
      </c>
      <c r="G141" s="7" t="s">
        <v>154</v>
      </c>
      <c r="H141" s="7" t="s">
        <v>12</v>
      </c>
      <c r="I141" s="7" t="s">
        <v>122</v>
      </c>
      <c r="J141" s="7" t="s">
        <v>155</v>
      </c>
      <c r="K141" s="7"/>
      <c r="L141" s="7" t="s">
        <v>156</v>
      </c>
      <c r="M141" s="16"/>
    </row>
    <row r="142" s="1" customFormat="1" ht="18.75" customHeight="1" spans="1:13">
      <c r="A142" s="6" t="s">
        <v>365</v>
      </c>
      <c r="B142" s="8" t="s">
        <v>363</v>
      </c>
      <c r="C142" s="9"/>
      <c r="D142" s="9"/>
      <c r="E142" s="9"/>
      <c r="F142" s="9"/>
      <c r="G142" s="9"/>
      <c r="H142" s="9"/>
      <c r="I142" s="7" t="s">
        <v>220</v>
      </c>
      <c r="J142" s="9"/>
      <c r="K142" s="9"/>
      <c r="L142" s="9"/>
      <c r="M142" s="17"/>
    </row>
    <row r="143" s="1" customFormat="1" ht="18.75" customHeight="1" spans="1:13">
      <c r="A143" s="6" t="s">
        <v>366</v>
      </c>
      <c r="B143" s="8" t="s">
        <v>367</v>
      </c>
      <c r="C143" s="9"/>
      <c r="D143" s="9"/>
      <c r="E143" s="9"/>
      <c r="F143" s="9"/>
      <c r="G143" s="9"/>
      <c r="H143" s="9"/>
      <c r="I143" s="7" t="s">
        <v>220</v>
      </c>
      <c r="J143" s="9"/>
      <c r="K143" s="9"/>
      <c r="L143" s="9"/>
      <c r="M143" s="17"/>
    </row>
    <row r="144" s="1" customFormat="1" ht="18.75" customHeight="1" spans="1:13">
      <c r="A144" s="6" t="s">
        <v>368</v>
      </c>
      <c r="B144" s="8" t="s">
        <v>367</v>
      </c>
      <c r="C144" s="9"/>
      <c r="D144" s="9"/>
      <c r="E144" s="9"/>
      <c r="F144" s="9"/>
      <c r="G144" s="9"/>
      <c r="H144" s="9"/>
      <c r="I144" s="7" t="s">
        <v>220</v>
      </c>
      <c r="J144" s="9"/>
      <c r="K144" s="9"/>
      <c r="L144" s="9"/>
      <c r="M144" s="17"/>
    </row>
    <row r="145" s="1" customFormat="1" ht="18.75" customHeight="1" spans="1:13">
      <c r="A145" s="6" t="s">
        <v>369</v>
      </c>
      <c r="B145" s="8" t="s">
        <v>370</v>
      </c>
      <c r="C145" s="9"/>
      <c r="D145" s="9"/>
      <c r="E145" s="9"/>
      <c r="F145" s="9"/>
      <c r="G145" s="9"/>
      <c r="H145" s="9"/>
      <c r="I145" s="7" t="s">
        <v>220</v>
      </c>
      <c r="J145" s="9"/>
      <c r="K145" s="9"/>
      <c r="L145" s="9"/>
      <c r="M145" s="17"/>
    </row>
    <row r="146" s="1" customFormat="1" ht="18.75" customHeight="1" spans="1:13">
      <c r="A146" s="6" t="s">
        <v>371</v>
      </c>
      <c r="B146" s="8" t="s">
        <v>370</v>
      </c>
      <c r="C146" s="9"/>
      <c r="D146" s="9"/>
      <c r="E146" s="9"/>
      <c r="F146" s="9"/>
      <c r="G146" s="9"/>
      <c r="H146" s="9"/>
      <c r="I146" s="7" t="s">
        <v>220</v>
      </c>
      <c r="J146" s="9"/>
      <c r="K146" s="9"/>
      <c r="L146" s="9"/>
      <c r="M146" s="17"/>
    </row>
    <row r="147" s="1" customFormat="1" ht="18.75" customHeight="1" spans="1:13">
      <c r="A147" s="6" t="s">
        <v>372</v>
      </c>
      <c r="B147" s="8" t="s">
        <v>373</v>
      </c>
      <c r="C147" s="9"/>
      <c r="D147" s="9"/>
      <c r="E147" s="9"/>
      <c r="F147" s="9"/>
      <c r="G147" s="9"/>
      <c r="H147" s="9"/>
      <c r="I147" s="7" t="s">
        <v>220</v>
      </c>
      <c r="J147" s="9"/>
      <c r="K147" s="9"/>
      <c r="L147" s="9"/>
      <c r="M147" s="17"/>
    </row>
    <row r="148" s="1" customFormat="1" ht="18.75" customHeight="1" spans="1:13">
      <c r="A148" s="6" t="s">
        <v>374</v>
      </c>
      <c r="B148" s="8" t="s">
        <v>373</v>
      </c>
      <c r="C148" s="9"/>
      <c r="D148" s="9"/>
      <c r="E148" s="9"/>
      <c r="F148" s="9"/>
      <c r="G148" s="9"/>
      <c r="H148" s="9"/>
      <c r="I148" s="7" t="s">
        <v>220</v>
      </c>
      <c r="J148" s="9"/>
      <c r="K148" s="9"/>
      <c r="L148" s="9"/>
      <c r="M148" s="17"/>
    </row>
    <row r="149" s="1" customFormat="1" ht="18.75" customHeight="1" spans="1:13">
      <c r="A149" s="6" t="s">
        <v>375</v>
      </c>
      <c r="B149" s="8" t="s">
        <v>376</v>
      </c>
      <c r="C149" s="9"/>
      <c r="D149" s="9"/>
      <c r="E149" s="9"/>
      <c r="F149" s="9"/>
      <c r="G149" s="9"/>
      <c r="H149" s="9"/>
      <c r="I149" s="7" t="s">
        <v>220</v>
      </c>
      <c r="J149" s="9"/>
      <c r="K149" s="9"/>
      <c r="L149" s="9"/>
      <c r="M149" s="17"/>
    </row>
    <row r="150" s="1" customFormat="1" ht="18.75" customHeight="1" spans="1:13">
      <c r="A150" s="6" t="s">
        <v>377</v>
      </c>
      <c r="B150" s="8" t="s">
        <v>376</v>
      </c>
      <c r="C150" s="9"/>
      <c r="D150" s="9"/>
      <c r="E150" s="9"/>
      <c r="F150" s="9"/>
      <c r="G150" s="9"/>
      <c r="H150" s="9"/>
      <c r="I150" s="7" t="s">
        <v>220</v>
      </c>
      <c r="J150" s="9"/>
      <c r="K150" s="9"/>
      <c r="L150" s="9"/>
      <c r="M150" s="17"/>
    </row>
    <row r="151" s="1" customFormat="1" ht="18.75" customHeight="1" spans="1:13">
      <c r="A151" s="6" t="s">
        <v>378</v>
      </c>
      <c r="B151" s="8" t="s">
        <v>379</v>
      </c>
      <c r="C151" s="9"/>
      <c r="D151" s="9"/>
      <c r="E151" s="9"/>
      <c r="F151" s="9"/>
      <c r="G151" s="9"/>
      <c r="H151" s="9"/>
      <c r="I151" s="7" t="s">
        <v>220</v>
      </c>
      <c r="J151" s="9"/>
      <c r="K151" s="9"/>
      <c r="L151" s="9"/>
      <c r="M151" s="17"/>
    </row>
    <row r="152" s="1" customFormat="1" ht="18.75" customHeight="1" spans="1:13">
      <c r="A152" s="6" t="s">
        <v>380</v>
      </c>
      <c r="B152" s="8" t="s">
        <v>379</v>
      </c>
      <c r="C152" s="9"/>
      <c r="D152" s="9"/>
      <c r="E152" s="9"/>
      <c r="F152" s="9"/>
      <c r="G152" s="9"/>
      <c r="H152" s="9"/>
      <c r="I152" s="7" t="s">
        <v>220</v>
      </c>
      <c r="J152" s="9"/>
      <c r="K152" s="9"/>
      <c r="L152" s="9"/>
      <c r="M152" s="17"/>
    </row>
    <row r="153" s="1" customFormat="1" ht="18.75" customHeight="1" spans="1:13">
      <c r="A153" s="6" t="s">
        <v>381</v>
      </c>
      <c r="B153" s="8" t="s">
        <v>382</v>
      </c>
      <c r="C153" s="9"/>
      <c r="D153" s="9"/>
      <c r="E153" s="9"/>
      <c r="F153" s="9"/>
      <c r="G153" s="9"/>
      <c r="H153" s="9"/>
      <c r="I153" s="7" t="s">
        <v>220</v>
      </c>
      <c r="J153" s="9"/>
      <c r="K153" s="9"/>
      <c r="L153" s="9"/>
      <c r="M153" s="17"/>
    </row>
    <row r="154" s="1" customFormat="1" ht="18.75" customHeight="1" spans="1:13">
      <c r="A154" s="6" t="s">
        <v>383</v>
      </c>
      <c r="B154" s="8" t="s">
        <v>382</v>
      </c>
      <c r="C154" s="9"/>
      <c r="D154" s="9"/>
      <c r="E154" s="9"/>
      <c r="F154" s="9"/>
      <c r="G154" s="9"/>
      <c r="H154" s="9"/>
      <c r="I154" s="7" t="s">
        <v>220</v>
      </c>
      <c r="J154" s="9"/>
      <c r="K154" s="9"/>
      <c r="L154" s="9"/>
      <c r="M154" s="17"/>
    </row>
    <row r="155" s="1" customFormat="1" ht="18.75" customHeight="1" spans="1:13">
      <c r="A155" s="6" t="s">
        <v>384</v>
      </c>
      <c r="B155" s="8" t="s">
        <v>385</v>
      </c>
      <c r="C155" s="9"/>
      <c r="D155" s="9"/>
      <c r="E155" s="9"/>
      <c r="F155" s="9"/>
      <c r="G155" s="9"/>
      <c r="H155" s="9"/>
      <c r="I155" s="7" t="s">
        <v>220</v>
      </c>
      <c r="J155" s="9"/>
      <c r="K155" s="9"/>
      <c r="L155" s="9"/>
      <c r="M155" s="17"/>
    </row>
    <row r="156" s="1" customFormat="1" ht="18.75" customHeight="1" spans="1:13">
      <c r="A156" s="6" t="s">
        <v>386</v>
      </c>
      <c r="B156" s="8" t="s">
        <v>387</v>
      </c>
      <c r="C156" s="9"/>
      <c r="D156" s="9"/>
      <c r="E156" s="9"/>
      <c r="F156" s="9"/>
      <c r="G156" s="9"/>
      <c r="H156" s="9"/>
      <c r="I156" s="7" t="s">
        <v>220</v>
      </c>
      <c r="J156" s="9"/>
      <c r="K156" s="9"/>
      <c r="L156" s="9"/>
      <c r="M156" s="17"/>
    </row>
    <row r="157" s="1" customFormat="1" ht="18.75" customHeight="1" spans="1:13">
      <c r="A157" s="6" t="s">
        <v>388</v>
      </c>
      <c r="B157" s="8" t="s">
        <v>389</v>
      </c>
      <c r="C157" s="9"/>
      <c r="D157" s="9"/>
      <c r="E157" s="9"/>
      <c r="F157" s="9"/>
      <c r="G157" s="9"/>
      <c r="H157" s="9"/>
      <c r="I157" s="7" t="s">
        <v>220</v>
      </c>
      <c r="J157" s="9"/>
      <c r="K157" s="9"/>
      <c r="L157" s="9"/>
      <c r="M157" s="17"/>
    </row>
    <row r="158" s="1" customFormat="1" ht="18.75" customHeight="1" spans="1:13">
      <c r="A158" s="6" t="s">
        <v>390</v>
      </c>
      <c r="B158" s="8" t="s">
        <v>391</v>
      </c>
      <c r="C158" s="9"/>
      <c r="D158" s="9"/>
      <c r="E158" s="9"/>
      <c r="F158" s="9"/>
      <c r="G158" s="9"/>
      <c r="H158" s="9"/>
      <c r="I158" s="7" t="s">
        <v>220</v>
      </c>
      <c r="J158" s="9"/>
      <c r="K158" s="9"/>
      <c r="L158" s="9"/>
      <c r="M158" s="17"/>
    </row>
    <row r="159" s="1" customFormat="1" ht="18.75" customHeight="1" spans="1:13">
      <c r="A159" s="6" t="s">
        <v>392</v>
      </c>
      <c r="B159" s="8" t="s">
        <v>393</v>
      </c>
      <c r="C159" s="9"/>
      <c r="D159" s="9"/>
      <c r="E159" s="9"/>
      <c r="F159" s="9"/>
      <c r="G159" s="9"/>
      <c r="H159" s="9"/>
      <c r="I159" s="7" t="s">
        <v>220</v>
      </c>
      <c r="J159" s="9"/>
      <c r="K159" s="9"/>
      <c r="L159" s="9"/>
      <c r="M159" s="17"/>
    </row>
    <row r="160" s="1" customFormat="1" ht="18.75" customHeight="1" spans="1:13">
      <c r="A160" s="6" t="s">
        <v>394</v>
      </c>
      <c r="B160" s="8" t="s">
        <v>395</v>
      </c>
      <c r="C160" s="9"/>
      <c r="D160" s="9"/>
      <c r="E160" s="9"/>
      <c r="F160" s="9"/>
      <c r="G160" s="9"/>
      <c r="H160" s="9"/>
      <c r="I160" s="7" t="s">
        <v>220</v>
      </c>
      <c r="J160" s="9"/>
      <c r="K160" s="9"/>
      <c r="L160" s="9"/>
      <c r="M160" s="17"/>
    </row>
    <row r="161" s="1" customFormat="1" ht="20.25" customHeight="1" spans="1:13">
      <c r="A161" s="10" t="s">
        <v>396</v>
      </c>
      <c r="B161" s="11" t="s">
        <v>397</v>
      </c>
      <c r="C161" s="12"/>
      <c r="D161" s="12"/>
      <c r="E161" s="12"/>
      <c r="F161" s="12"/>
      <c r="G161" s="12"/>
      <c r="H161" s="12"/>
      <c r="I161" s="18" t="s">
        <v>220</v>
      </c>
      <c r="J161" s="12"/>
      <c r="K161" s="12"/>
      <c r="L161" s="12"/>
      <c r="M161" s="19"/>
    </row>
    <row r="162" s="1" customFormat="1" ht="39.75" customHeight="1" spans="1:13">
      <c r="A162" s="2" t="s">
        <v>144</v>
      </c>
      <c r="B162" s="2"/>
      <c r="C162" s="2"/>
      <c r="D162" s="2"/>
      <c r="E162" s="2"/>
      <c r="F162" s="2"/>
      <c r="G162" s="2"/>
      <c r="H162" s="2"/>
      <c r="I162" s="2"/>
      <c r="J162" s="2"/>
      <c r="K162" s="13"/>
      <c r="L162" s="13"/>
      <c r="M162" s="13"/>
    </row>
    <row r="163" s="1" customFormat="1" ht="28.5" customHeight="1" spans="1:13">
      <c r="A163" s="3" t="s">
        <v>145</v>
      </c>
      <c r="B163" s="3"/>
      <c r="C163" s="3"/>
      <c r="D163" s="3"/>
      <c r="E163" s="3"/>
      <c r="F163" s="3"/>
      <c r="G163" s="3"/>
      <c r="H163" s="3"/>
      <c r="I163" s="3"/>
      <c r="J163" s="3"/>
      <c r="K163" s="14" t="s">
        <v>398</v>
      </c>
      <c r="L163" s="14"/>
      <c r="M163" s="14"/>
    </row>
    <row r="164" s="1" customFormat="1" ht="28.5" customHeight="1" spans="1:13">
      <c r="A164" s="4" t="s">
        <v>1</v>
      </c>
      <c r="B164" s="5" t="s">
        <v>147</v>
      </c>
      <c r="C164" s="5" t="s">
        <v>148</v>
      </c>
      <c r="D164" s="5"/>
      <c r="E164" s="5"/>
      <c r="F164" s="5"/>
      <c r="G164" s="5"/>
      <c r="H164" s="5"/>
      <c r="I164" s="5" t="s">
        <v>149</v>
      </c>
      <c r="J164" s="5"/>
      <c r="K164" s="5"/>
      <c r="L164" s="5"/>
      <c r="M164" s="15" t="s">
        <v>150</v>
      </c>
    </row>
    <row r="165" s="1" customFormat="1" ht="28.5" customHeight="1" spans="1:13">
      <c r="A165" s="6"/>
      <c r="B165" s="7"/>
      <c r="C165" s="7" t="s">
        <v>151</v>
      </c>
      <c r="D165" s="7" t="s">
        <v>152</v>
      </c>
      <c r="E165" s="7"/>
      <c r="F165" s="7" t="s">
        <v>153</v>
      </c>
      <c r="G165" s="7" t="s">
        <v>154</v>
      </c>
      <c r="H165" s="7" t="s">
        <v>12</v>
      </c>
      <c r="I165" s="7" t="s">
        <v>122</v>
      </c>
      <c r="J165" s="7" t="s">
        <v>155</v>
      </c>
      <c r="K165" s="7"/>
      <c r="L165" s="7" t="s">
        <v>156</v>
      </c>
      <c r="M165" s="16"/>
    </row>
    <row r="166" s="1" customFormat="1" ht="18.75" customHeight="1" spans="1:13">
      <c r="A166" s="6"/>
      <c r="B166" s="8" t="s">
        <v>399</v>
      </c>
      <c r="C166" s="9"/>
      <c r="D166" s="9"/>
      <c r="E166" s="9"/>
      <c r="F166" s="9"/>
      <c r="G166" s="9"/>
      <c r="H166" s="9"/>
      <c r="I166" s="7"/>
      <c r="J166" s="9"/>
      <c r="K166" s="9"/>
      <c r="L166" s="9"/>
      <c r="M166" s="17"/>
    </row>
    <row r="167" s="1" customFormat="1" ht="18.75" customHeight="1" spans="1:13">
      <c r="A167" s="6" t="s">
        <v>400</v>
      </c>
      <c r="B167" s="8" t="s">
        <v>401</v>
      </c>
      <c r="C167" s="9"/>
      <c r="D167" s="9"/>
      <c r="E167" s="9"/>
      <c r="F167" s="9"/>
      <c r="G167" s="9"/>
      <c r="H167" s="9"/>
      <c r="I167" s="7" t="s">
        <v>220</v>
      </c>
      <c r="J167" s="9"/>
      <c r="K167" s="9"/>
      <c r="L167" s="9"/>
      <c r="M167" s="17"/>
    </row>
    <row r="168" s="1" customFormat="1" ht="18.75" customHeight="1" spans="1:13">
      <c r="A168" s="6" t="s">
        <v>402</v>
      </c>
      <c r="B168" s="8" t="s">
        <v>403</v>
      </c>
      <c r="C168" s="9"/>
      <c r="D168" s="9"/>
      <c r="E168" s="9"/>
      <c r="F168" s="9"/>
      <c r="G168" s="9"/>
      <c r="H168" s="9"/>
      <c r="I168" s="7" t="s">
        <v>220</v>
      </c>
      <c r="J168" s="9"/>
      <c r="K168" s="9"/>
      <c r="L168" s="9"/>
      <c r="M168" s="17"/>
    </row>
    <row r="169" s="1" customFormat="1" ht="18.75" customHeight="1" spans="1:13">
      <c r="A169" s="6" t="s">
        <v>404</v>
      </c>
      <c r="B169" s="8" t="s">
        <v>405</v>
      </c>
      <c r="C169" s="9"/>
      <c r="D169" s="9"/>
      <c r="E169" s="9"/>
      <c r="F169" s="9"/>
      <c r="G169" s="9"/>
      <c r="H169" s="9"/>
      <c r="I169" s="7" t="s">
        <v>220</v>
      </c>
      <c r="J169" s="9"/>
      <c r="K169" s="9"/>
      <c r="L169" s="9"/>
      <c r="M169" s="17"/>
    </row>
    <row r="170" s="1" customFormat="1" ht="18.75" customHeight="1" spans="1:13">
      <c r="A170" s="6" t="s">
        <v>406</v>
      </c>
      <c r="B170" s="8" t="s">
        <v>407</v>
      </c>
      <c r="C170" s="9"/>
      <c r="D170" s="9"/>
      <c r="E170" s="9"/>
      <c r="F170" s="9"/>
      <c r="G170" s="9"/>
      <c r="H170" s="9"/>
      <c r="I170" s="7" t="s">
        <v>220</v>
      </c>
      <c r="J170" s="9"/>
      <c r="K170" s="9"/>
      <c r="L170" s="9"/>
      <c r="M170" s="17"/>
    </row>
    <row r="171" s="1" customFormat="1" ht="18.75" customHeight="1" spans="1:13">
      <c r="A171" s="6" t="s">
        <v>408</v>
      </c>
      <c r="B171" s="8" t="s">
        <v>409</v>
      </c>
      <c r="C171" s="9"/>
      <c r="D171" s="9"/>
      <c r="E171" s="9"/>
      <c r="F171" s="9"/>
      <c r="G171" s="9"/>
      <c r="H171" s="9"/>
      <c r="I171" s="7" t="s">
        <v>220</v>
      </c>
      <c r="J171" s="9"/>
      <c r="K171" s="9"/>
      <c r="L171" s="9"/>
      <c r="M171" s="17"/>
    </row>
    <row r="172" s="1" customFormat="1" ht="18.75" customHeight="1" spans="1:13">
      <c r="A172" s="6" t="s">
        <v>410</v>
      </c>
      <c r="B172" s="8" t="s">
        <v>411</v>
      </c>
      <c r="C172" s="9"/>
      <c r="D172" s="9"/>
      <c r="E172" s="9"/>
      <c r="F172" s="9"/>
      <c r="G172" s="9"/>
      <c r="H172" s="9"/>
      <c r="I172" s="7" t="s">
        <v>220</v>
      </c>
      <c r="J172" s="9"/>
      <c r="K172" s="9"/>
      <c r="L172" s="9"/>
      <c r="M172" s="17"/>
    </row>
    <row r="173" s="1" customFormat="1" ht="18.75" customHeight="1" spans="1:13">
      <c r="A173" s="6" t="s">
        <v>412</v>
      </c>
      <c r="B173" s="8" t="s">
        <v>413</v>
      </c>
      <c r="C173" s="9"/>
      <c r="D173" s="9"/>
      <c r="E173" s="9"/>
      <c r="F173" s="9"/>
      <c r="G173" s="9"/>
      <c r="H173" s="9"/>
      <c r="I173" s="7" t="s">
        <v>220</v>
      </c>
      <c r="J173" s="9"/>
      <c r="K173" s="9"/>
      <c r="L173" s="9"/>
      <c r="M173" s="17"/>
    </row>
    <row r="174" s="1" customFormat="1" ht="18.75" customHeight="1" spans="1:13">
      <c r="A174" s="6" t="s">
        <v>414</v>
      </c>
      <c r="B174" s="8" t="s">
        <v>415</v>
      </c>
      <c r="C174" s="9"/>
      <c r="D174" s="9"/>
      <c r="E174" s="9"/>
      <c r="F174" s="9"/>
      <c r="G174" s="9"/>
      <c r="H174" s="9"/>
      <c r="I174" s="7" t="s">
        <v>220</v>
      </c>
      <c r="J174" s="9"/>
      <c r="K174" s="9"/>
      <c r="L174" s="9"/>
      <c r="M174" s="17"/>
    </row>
    <row r="175" s="1" customFormat="1" ht="18.75" customHeight="1" spans="1:13">
      <c r="A175" s="6" t="s">
        <v>416</v>
      </c>
      <c r="B175" s="8" t="s">
        <v>417</v>
      </c>
      <c r="C175" s="9"/>
      <c r="D175" s="9"/>
      <c r="E175" s="9"/>
      <c r="F175" s="9"/>
      <c r="G175" s="9"/>
      <c r="H175" s="9"/>
      <c r="I175" s="7" t="s">
        <v>220</v>
      </c>
      <c r="J175" s="9"/>
      <c r="K175" s="9"/>
      <c r="L175" s="9"/>
      <c r="M175" s="17"/>
    </row>
    <row r="176" s="1" customFormat="1" ht="18.75" customHeight="1" spans="1:13">
      <c r="A176" s="6" t="s">
        <v>418</v>
      </c>
      <c r="B176" s="8" t="s">
        <v>419</v>
      </c>
      <c r="C176" s="9"/>
      <c r="D176" s="9"/>
      <c r="E176" s="9"/>
      <c r="F176" s="9"/>
      <c r="G176" s="9"/>
      <c r="H176" s="9"/>
      <c r="I176" s="7" t="s">
        <v>220</v>
      </c>
      <c r="J176" s="9"/>
      <c r="K176" s="9"/>
      <c r="L176" s="9"/>
      <c r="M176" s="17"/>
    </row>
    <row r="177" s="1" customFormat="1" ht="18.75" customHeight="1" spans="1:13">
      <c r="A177" s="6" t="s">
        <v>420</v>
      </c>
      <c r="B177" s="8" t="s">
        <v>421</v>
      </c>
      <c r="C177" s="9"/>
      <c r="D177" s="9"/>
      <c r="E177" s="9"/>
      <c r="F177" s="9"/>
      <c r="G177" s="9"/>
      <c r="H177" s="9"/>
      <c r="I177" s="7" t="s">
        <v>220</v>
      </c>
      <c r="J177" s="9"/>
      <c r="K177" s="9"/>
      <c r="L177" s="9"/>
      <c r="M177" s="17"/>
    </row>
    <row r="178" s="1" customFormat="1" ht="18.75" customHeight="1" spans="1:13">
      <c r="A178" s="6" t="s">
        <v>422</v>
      </c>
      <c r="B178" s="8" t="s">
        <v>421</v>
      </c>
      <c r="C178" s="9"/>
      <c r="D178" s="9"/>
      <c r="E178" s="9"/>
      <c r="F178" s="9"/>
      <c r="G178" s="9"/>
      <c r="H178" s="9"/>
      <c r="I178" s="7" t="s">
        <v>220</v>
      </c>
      <c r="J178" s="9"/>
      <c r="K178" s="9"/>
      <c r="L178" s="9"/>
      <c r="M178" s="17"/>
    </row>
    <row r="179" s="1" customFormat="1" ht="18.75" customHeight="1" spans="1:13">
      <c r="A179" s="6" t="s">
        <v>423</v>
      </c>
      <c r="B179" s="8" t="s">
        <v>424</v>
      </c>
      <c r="C179" s="9"/>
      <c r="D179" s="9"/>
      <c r="E179" s="9"/>
      <c r="F179" s="9"/>
      <c r="G179" s="9"/>
      <c r="H179" s="9"/>
      <c r="I179" s="7"/>
      <c r="J179" s="9"/>
      <c r="K179" s="9"/>
      <c r="L179" s="9"/>
      <c r="M179" s="17"/>
    </row>
    <row r="180" s="1" customFormat="1" ht="18.75" customHeight="1" spans="1:13">
      <c r="A180" s="6" t="s">
        <v>425</v>
      </c>
      <c r="B180" s="8" t="s">
        <v>110</v>
      </c>
      <c r="C180" s="9"/>
      <c r="D180" s="9"/>
      <c r="E180" s="9"/>
      <c r="F180" s="9"/>
      <c r="G180" s="9"/>
      <c r="H180" s="9"/>
      <c r="I180" s="7"/>
      <c r="J180" s="9"/>
      <c r="K180" s="9"/>
      <c r="L180" s="9"/>
      <c r="M180" s="17"/>
    </row>
    <row r="181" s="1" customFormat="1" ht="18.75" customHeight="1" spans="1:13">
      <c r="A181" s="6" t="s">
        <v>426</v>
      </c>
      <c r="B181" s="8" t="s">
        <v>427</v>
      </c>
      <c r="C181" s="9"/>
      <c r="D181" s="9"/>
      <c r="E181" s="9"/>
      <c r="F181" s="9"/>
      <c r="G181" s="9"/>
      <c r="H181" s="9"/>
      <c r="I181" s="7"/>
      <c r="J181" s="9"/>
      <c r="K181" s="9"/>
      <c r="L181" s="9"/>
      <c r="M181" s="17"/>
    </row>
    <row r="182" s="1" customFormat="1" ht="18.75" customHeight="1" spans="1:13">
      <c r="A182" s="6" t="s">
        <v>428</v>
      </c>
      <c r="B182" s="8" t="s">
        <v>429</v>
      </c>
      <c r="C182" s="9"/>
      <c r="D182" s="9"/>
      <c r="E182" s="9"/>
      <c r="F182" s="9"/>
      <c r="G182" s="9"/>
      <c r="H182" s="9"/>
      <c r="I182" s="7"/>
      <c r="J182" s="9"/>
      <c r="K182" s="9"/>
      <c r="L182" s="9"/>
      <c r="M182" s="17"/>
    </row>
    <row r="183" s="1" customFormat="1" ht="18.75" customHeight="1" spans="1:13">
      <c r="A183" s="6" t="s">
        <v>430</v>
      </c>
      <c r="B183" s="8" t="s">
        <v>431</v>
      </c>
      <c r="C183" s="9"/>
      <c r="D183" s="9"/>
      <c r="E183" s="9"/>
      <c r="F183" s="9"/>
      <c r="G183" s="9"/>
      <c r="H183" s="9"/>
      <c r="I183" s="7"/>
      <c r="J183" s="9"/>
      <c r="K183" s="9"/>
      <c r="L183" s="9"/>
      <c r="M183" s="17"/>
    </row>
    <row r="184" s="1" customFormat="1" ht="18.75" customHeight="1" spans="1:13">
      <c r="A184" s="6" t="s">
        <v>432</v>
      </c>
      <c r="B184" s="8" t="s">
        <v>433</v>
      </c>
      <c r="C184" s="9"/>
      <c r="D184" s="9"/>
      <c r="E184" s="9"/>
      <c r="F184" s="9"/>
      <c r="G184" s="9"/>
      <c r="H184" s="9">
        <v>73221.22</v>
      </c>
      <c r="I184" s="7"/>
      <c r="J184" s="9"/>
      <c r="K184" s="9"/>
      <c r="L184" s="9"/>
      <c r="M184" s="17">
        <v>100</v>
      </c>
    </row>
    <row r="185" s="1" customFormat="1" ht="18.75" customHeight="1" spans="1:13">
      <c r="A185" s="10"/>
      <c r="B185" s="11"/>
      <c r="C185" s="12"/>
      <c r="D185" s="12"/>
      <c r="E185" s="12"/>
      <c r="F185" s="12"/>
      <c r="G185" s="12"/>
      <c r="H185" s="12"/>
      <c r="I185" s="18"/>
      <c r="J185" s="12"/>
      <c r="K185" s="12"/>
      <c r="L185" s="12"/>
      <c r="M185" s="19"/>
    </row>
  </sheetData>
  <mergeCells count="394">
    <mergeCell ref="A1:M1"/>
    <mergeCell ref="A2:D2"/>
    <mergeCell ref="E2:J2"/>
    <mergeCell ref="K2:M2"/>
    <mergeCell ref="C3:H3"/>
    <mergeCell ref="I3:L3"/>
    <mergeCell ref="D4:E4"/>
    <mergeCell ref="J4:K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M23"/>
    <mergeCell ref="A24:D24"/>
    <mergeCell ref="E24:J24"/>
    <mergeCell ref="K24:M24"/>
    <mergeCell ref="C25:H25"/>
    <mergeCell ref="I25:L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A45:M45"/>
    <mergeCell ref="A46:D46"/>
    <mergeCell ref="E46:J46"/>
    <mergeCell ref="K46:M46"/>
    <mergeCell ref="C47:H47"/>
    <mergeCell ref="I47:L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A69:M69"/>
    <mergeCell ref="A70:D70"/>
    <mergeCell ref="E70:J70"/>
    <mergeCell ref="K70:M70"/>
    <mergeCell ref="C71:H71"/>
    <mergeCell ref="I71:L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A92:M92"/>
    <mergeCell ref="A93:D93"/>
    <mergeCell ref="E93:J93"/>
    <mergeCell ref="K93:M93"/>
    <mergeCell ref="C94:H94"/>
    <mergeCell ref="I94:L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A115:M115"/>
    <mergeCell ref="A116:D116"/>
    <mergeCell ref="E116:J116"/>
    <mergeCell ref="K116:M116"/>
    <mergeCell ref="C117:H117"/>
    <mergeCell ref="I117:L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A138:M138"/>
    <mergeCell ref="A139:D139"/>
    <mergeCell ref="E139:J139"/>
    <mergeCell ref="K139:M139"/>
    <mergeCell ref="C140:H140"/>
    <mergeCell ref="I140:L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A162:M162"/>
    <mergeCell ref="A163:D163"/>
    <mergeCell ref="E163:J163"/>
    <mergeCell ref="K163:M163"/>
    <mergeCell ref="C164:H164"/>
    <mergeCell ref="I164:L164"/>
    <mergeCell ref="D165:E165"/>
    <mergeCell ref="J165:K165"/>
    <mergeCell ref="D166:E166"/>
    <mergeCell ref="J166:K166"/>
    <mergeCell ref="D167:E167"/>
    <mergeCell ref="J167:K167"/>
    <mergeCell ref="D168:E168"/>
    <mergeCell ref="J168:K168"/>
    <mergeCell ref="D169:E169"/>
    <mergeCell ref="J169:K169"/>
    <mergeCell ref="D170:E170"/>
    <mergeCell ref="J170:K170"/>
    <mergeCell ref="D171:E171"/>
    <mergeCell ref="J171:K171"/>
    <mergeCell ref="D172:E172"/>
    <mergeCell ref="J172:K172"/>
    <mergeCell ref="D173:E173"/>
    <mergeCell ref="J173:K173"/>
    <mergeCell ref="D174:E174"/>
    <mergeCell ref="J174:K174"/>
    <mergeCell ref="D175:E175"/>
    <mergeCell ref="J175:K175"/>
    <mergeCell ref="D176:E176"/>
    <mergeCell ref="J176:K176"/>
    <mergeCell ref="D177:E177"/>
    <mergeCell ref="J177:K177"/>
    <mergeCell ref="D178:E178"/>
    <mergeCell ref="J178:K178"/>
    <mergeCell ref="D179:E179"/>
    <mergeCell ref="J179:K179"/>
    <mergeCell ref="D180:E180"/>
    <mergeCell ref="J180:K180"/>
    <mergeCell ref="D181:E181"/>
    <mergeCell ref="J181:K181"/>
    <mergeCell ref="D182:E182"/>
    <mergeCell ref="J182:K182"/>
    <mergeCell ref="D183:E183"/>
    <mergeCell ref="J183:K183"/>
    <mergeCell ref="D184:E184"/>
    <mergeCell ref="J184:K184"/>
    <mergeCell ref="D185:E185"/>
    <mergeCell ref="J185:K185"/>
    <mergeCell ref="A3:A4"/>
    <mergeCell ref="A25:A26"/>
    <mergeCell ref="A47:A48"/>
    <mergeCell ref="A71:A72"/>
    <mergeCell ref="A94:A95"/>
    <mergeCell ref="A117:A118"/>
    <mergeCell ref="A140:A141"/>
    <mergeCell ref="A164:A165"/>
    <mergeCell ref="B3:B4"/>
    <mergeCell ref="B25:B26"/>
    <mergeCell ref="B47:B48"/>
    <mergeCell ref="B71:B72"/>
    <mergeCell ref="B94:B95"/>
    <mergeCell ref="B117:B118"/>
    <mergeCell ref="B140:B141"/>
    <mergeCell ref="B164:B165"/>
    <mergeCell ref="M3:M4"/>
    <mergeCell ref="M25:M26"/>
    <mergeCell ref="M47:M48"/>
    <mergeCell ref="M71:M72"/>
    <mergeCell ref="M94:M95"/>
    <mergeCell ref="M117:M118"/>
    <mergeCell ref="M140:M141"/>
    <mergeCell ref="M164:M1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排涝总  总表</vt:lpstr>
      <vt:lpstr>排涝二部分二类费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蒙凯</cp:lastModifiedBy>
  <dcterms:created xsi:type="dcterms:W3CDTF">2023-03-17T16:59:00Z</dcterms:created>
  <dcterms:modified xsi:type="dcterms:W3CDTF">2025-06-13T08:24:16Z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2024-07-30T01:03:13Z</vt:filetime>
  </property>
  <property fmtid="{D5CDD505-2E9C-101B-9397-08002B2CF9AE}" pid="4" name="ICV">
    <vt:lpwstr>BD634A59584546279213480F867528EA_13</vt:lpwstr>
  </property>
  <property fmtid="{D5CDD505-2E9C-101B-9397-08002B2CF9AE}" pid="5" name="KSOProductBuildVer">
    <vt:lpwstr>2052-11.8.2.8411</vt:lpwstr>
  </property>
</Properties>
</file>