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tabRatio="798"/>
  </bookViews>
  <sheets>
    <sheet name="总表" sheetId="2" r:id="rId1"/>
    <sheet name="单价表 (2)" sheetId="6" state="hidden" r:id="rId2"/>
    <sheet name="Sheet1" sheetId="9" state="hidden" r:id="rId3"/>
    <sheet name="单价" sheetId="22" state="hidden" r:id="rId4"/>
    <sheet name="安装" sheetId="23" state="hidden" r:id="rId5"/>
    <sheet name="投资表" sheetId="24" state="hidden" r:id="rId6"/>
    <sheet name="利息" sheetId="25" state="hidden" r:id="rId7"/>
    <sheet name="纯贷款利息" sheetId="26" state="hidden" r:id="rId8"/>
    <sheet name="设计提供利息" sheetId="27" state="hidden" r:id="rId9"/>
    <sheet name="建筑面积" sheetId="28" state="hidden" r:id="rId10"/>
  </sheets>
  <externalReferences>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总表!$B$1:$AB$133</definedName>
    <definedName name="_3t单筒卷扬机" localSheetId="1">[1]机械!#REF!</definedName>
    <definedName name="_3t单筒卷扬机" localSheetId="0">[1]机械!#REF!</definedName>
    <definedName name="_3t单筒卷扬机">[1]机械!#REF!</definedName>
    <definedName name="_5" localSheetId="1">#REF!</definedName>
    <definedName name="_5" localSheetId="0">#REF!</definedName>
    <definedName name="_5">#REF!</definedName>
    <definedName name="_6" localSheetId="1">#REF!</definedName>
    <definedName name="_6" localSheetId="0">#REF!</definedName>
    <definedName name="_6">#REF!</definedName>
    <definedName name="_JM4">'[2]C'!$E$129:$E$142</definedName>
    <definedName name="_JM5">'[2]C'!$E$143:$E$156</definedName>
    <definedName name="_JM6">'[2]C'!$E$157:$E$170</definedName>
    <definedName name="_JM7">'[2]C'!$E$171:$E$184</definedName>
    <definedName name="_TNC1">'[2]C'!$F$129:$R$142</definedName>
    <definedName name="_TNC2">'[2]C'!$F$157:$R$170</definedName>
    <definedName name="_TNS1">'[2]C'!$F$143:$R$156</definedName>
    <definedName name="_TNS2">'[2]C'!$F$171:$R$184</definedName>
    <definedName name="_XH1">'[2]C'!$F$20:$R$20</definedName>
    <definedName name="_XH2">'[2]C'!$F$128:$R$128</definedName>
    <definedName name="a" localSheetId="1">[3]!a</definedName>
    <definedName name="a">[3]!a</definedName>
    <definedName name="aa" localSheetId="1">[3]!aa</definedName>
    <definedName name="aa">[3]!aa</definedName>
    <definedName name="as" localSheetId="1">[3]!as</definedName>
    <definedName name="as">[3]!as</definedName>
    <definedName name="B" localSheetId="1">[3]!B</definedName>
    <definedName name="B">[3]!B</definedName>
    <definedName name="cc" localSheetId="1">[3]!cc</definedName>
    <definedName name="cc">[3]!cc</definedName>
    <definedName name="ccc" localSheetId="1">[3]!ccc</definedName>
    <definedName name="ccc">[3]!ccc</definedName>
    <definedName name="cccc" localSheetId="1">[3]!cccc</definedName>
    <definedName name="cccc">[3]!cccc</definedName>
    <definedName name="ccccc" localSheetId="1">[3]!ccccc</definedName>
    <definedName name="ccccc">[3]!ccccc</definedName>
    <definedName name="ccccccc" localSheetId="1">[3]!ccccccc</definedName>
    <definedName name="ccccccc">[3]!ccccccc</definedName>
    <definedName name="gh" localSheetId="1">[3]!gh</definedName>
    <definedName name="gh">[3]!gh</definedName>
    <definedName name="ghh" localSheetId="1">[3]!ghh</definedName>
    <definedName name="ghh">[3]!ghh</definedName>
    <definedName name="hh" localSheetId="1">[3]!hh</definedName>
    <definedName name="hh">[3]!hh</definedName>
    <definedName name="hj" localSheetId="1">[3]!hj</definedName>
    <definedName name="hj">[3]!hj</definedName>
    <definedName name="io" localSheetId="1">[3]!io</definedName>
    <definedName name="io">[3]!io</definedName>
    <definedName name="jk" localSheetId="1">[3]!jk</definedName>
    <definedName name="jk">[3]!jk</definedName>
    <definedName name="jkl" localSheetId="1">[3]!jkl</definedName>
    <definedName name="jkl">[3]!jkl</definedName>
    <definedName name="liu" localSheetId="1">[3]!liu</definedName>
    <definedName name="liu">[3]!liu</definedName>
    <definedName name="lui" localSheetId="1">[3]!lui</definedName>
    <definedName name="lui">[3]!lui</definedName>
    <definedName name="pi">[4]sheet1!$G$1</definedName>
    <definedName name="poio" localSheetId="1">[3]!poio</definedName>
    <definedName name="poio">[3]!poio</definedName>
    <definedName name="_xlnm.Print_Area" localSheetId="1">'单价表 (2)'!$B$1:$H$52</definedName>
    <definedName name="_xlnm.Print_Area" localSheetId="0">总表!$B$1:$U$45</definedName>
    <definedName name="_xlnm.Print_Titles" localSheetId="0">总表!$1:$4</definedName>
    <definedName name="q" localSheetId="1">[3]!q</definedName>
    <definedName name="q">[3]!q</definedName>
    <definedName name="Recorder">[5]sis.xlm!$E$15:$E$16384</definedName>
    <definedName name="REGRESS_DATA">[6]REGRESS!$O$5:$P$9</definedName>
    <definedName name="s" localSheetId="1">[3]!s</definedName>
    <definedName name="s">[3]!s</definedName>
    <definedName name="x" localSheetId="1">[3]!x</definedName>
    <definedName name="x">[3]!x</definedName>
    <definedName name="xx" localSheetId="1">[3]!xx</definedName>
    <definedName name="xx">[3]!xx</definedName>
    <definedName name="yuo" localSheetId="1">[3]!yuo</definedName>
    <definedName name="yuo">[3]!yuo</definedName>
    <definedName name="z" localSheetId="1">[3]!z</definedName>
    <definedName name="z">[3]!z</definedName>
    <definedName name="zx" localSheetId="1">[3]!zx</definedName>
    <definedName name="zx">[3]!zx</definedName>
    <definedName name="zz" localSheetId="1">[3]!zz</definedName>
    <definedName name="zz">[3]!zz</definedName>
    <definedName name="拌和机0.4立方米" localSheetId="1">[1]机械!#REF!</definedName>
    <definedName name="拌和机0.4立方米" localSheetId="0">[1]机械!#REF!</definedName>
    <definedName name="拌和机0.4立方米">[1]机械!#REF!</definedName>
    <definedName name="插入式震捣器2.2kw" localSheetId="1">[1]机械!#REF!</definedName>
    <definedName name="插入式震捣器2.2kw" localSheetId="0">[1]机械!#REF!</definedName>
    <definedName name="插入式震捣器2.2kw">[1]机械!#REF!</definedName>
    <definedName name="池" localSheetId="1">[3]!池</definedName>
    <definedName name="池">[3]!池</definedName>
    <definedName name="池池" localSheetId="1">[3]!池池</definedName>
    <definedName name="池池">[3]!池池</definedName>
    <definedName name="池池池" localSheetId="1">[3]!池池池</definedName>
    <definedName name="池池池">[3]!池池池</definedName>
    <definedName name="单斗挖掘机0.6立方米" localSheetId="1">[1]机械!#REF!</definedName>
    <definedName name="单斗挖掘机0.6立方米" localSheetId="0">[1]机械!#REF!</definedName>
    <definedName name="单斗挖掘机0.6立方米">[1]机械!#REF!</definedName>
    <definedName name="单级离心水泵1.1_7kw" localSheetId="1">[1]机械!#REF!</definedName>
    <definedName name="单级离心水泵1.1_7kw" localSheetId="0">[1]机械!#REF!</definedName>
    <definedName name="单级离心水泵1.1_7kw">[1]机械!#REF!</definedName>
    <definedName name="导杆式柴油打桩机1.8t" localSheetId="1">[1]机械!#REF!</definedName>
    <definedName name="导杆式柴油打桩机1.8t" localSheetId="0">[1]机械!#REF!</definedName>
    <definedName name="导杆式柴油打桩机1.8t">[1]机械!#REF!</definedName>
    <definedName name="电焊交流机25_50" localSheetId="1">[1]机械!#REF!</definedName>
    <definedName name="电焊交流机25_50" localSheetId="0">[1]机械!#REF!</definedName>
    <definedName name="电焊交流机25_50">[1]机械!#REF!</definedName>
    <definedName name="电缆" localSheetId="1">#REF!</definedName>
    <definedName name="电缆" localSheetId="0">#REF!</definedName>
    <definedName name="电缆">#REF!</definedName>
    <definedName name="斗车0.6立方米" localSheetId="1">[1]机械!#REF!</definedName>
    <definedName name="斗车0.6立方米" localSheetId="0">[1]机械!#REF!</definedName>
    <definedName name="斗车0.6立方米">[1]机械!#REF!</definedName>
    <definedName name="对焊机150" localSheetId="1">[1]机械!#REF!</definedName>
    <definedName name="对焊机150" localSheetId="0">[1]机械!#REF!</definedName>
    <definedName name="对焊机150">[1]机械!#REF!</definedName>
    <definedName name="二" localSheetId="1">[3]!二</definedName>
    <definedName name="二">[3]!二</definedName>
    <definedName name="二泵设备底稿" localSheetId="1">[3]!二泵设备底稿</definedName>
    <definedName name="二泵设备底稿">[3]!二泵设备底稿</definedName>
    <definedName name="二号泵站机械设备" localSheetId="1">#REF!</definedName>
    <definedName name="二号泵站机械设备" localSheetId="0">#REF!</definedName>
    <definedName name="二号泵站机械设备">#REF!</definedName>
    <definedName name="风水枪" localSheetId="1">[1]机械!#REF!</definedName>
    <definedName name="风水枪" localSheetId="0">[1]机械!#REF!</definedName>
    <definedName name="风水枪">[1]机械!#REF!</definedName>
    <definedName name="钢筋切断机" localSheetId="1">[1]机械!#REF!</definedName>
    <definedName name="钢筋切断机" localSheetId="0">[1]机械!#REF!</definedName>
    <definedName name="钢筋切断机">[1]机械!#REF!</definedName>
    <definedName name="钢筋调直机" localSheetId="1">[1]机械!#REF!</definedName>
    <definedName name="钢筋调直机" localSheetId="0">[1]机械!#REF!</definedName>
    <definedName name="钢筋调直机">[1]机械!#REF!</definedName>
    <definedName name="钢筋弯曲机" localSheetId="1">[1]机械!#REF!</definedName>
    <definedName name="钢筋弯曲机" localSheetId="0">[1]机械!#REF!</definedName>
    <definedName name="钢筋弯曲机">[1]机械!#REF!</definedName>
    <definedName name="沪南路机械设备" localSheetId="1">#REF!</definedName>
    <definedName name="沪南路机械设备" localSheetId="0">#REF!</definedName>
    <definedName name="沪南路机械设备">#REF!</definedName>
    <definedName name="阶段" localSheetId="1">#REF!</definedName>
    <definedName name="阶段" localSheetId="0">#REF!</definedName>
    <definedName name="阶段">#REF!</definedName>
    <definedName name="空压机9立方米" localSheetId="1">[1]机械!#REF!</definedName>
    <definedName name="空压机9立方米" localSheetId="0">[1]机械!#REF!</definedName>
    <definedName name="空压机9立方米">[1]机械!#REF!</definedName>
    <definedName name="龙东路机械设备" localSheetId="1">#REF!</definedName>
    <definedName name="龙东路机械设备" localSheetId="0">#REF!</definedName>
    <definedName name="龙东路机械设备">#REF!</definedName>
    <definedName name="皮带输送机15米" localSheetId="1">[1]机械!#REF!</definedName>
    <definedName name="皮带输送机15米" localSheetId="0">[1]机械!#REF!</definedName>
    <definedName name="皮带输送机15米">[1]机械!#REF!</definedName>
    <definedName name="起" localSheetId="1">[3]!起</definedName>
    <definedName name="起">[3]!起</definedName>
    <definedName name="汽车起重机16t" localSheetId="1">[1]机械!#REF!</definedName>
    <definedName name="汽车起重机16t" localSheetId="0">[1]机械!#REF!</definedName>
    <definedName name="汽车起重机16t">[1]机械!#REF!</definedName>
    <definedName name="汽车起重机5t" localSheetId="1">[1]机械!#REF!</definedName>
    <definedName name="汽车起重机5t" localSheetId="0">[1]机械!#REF!</definedName>
    <definedName name="汽车起重机5t">[1]机械!#REF!</definedName>
    <definedName name="汽车起重机8t" localSheetId="1">[1]机械!#REF!</definedName>
    <definedName name="汽车起重机8t" localSheetId="0">[1]机械!#REF!</definedName>
    <definedName name="汽车起重机8t">[1]机械!#REF!</definedName>
    <definedName name="潜水泵2.2kw" localSheetId="1">[1]机械!#REF!</definedName>
    <definedName name="潜水泵2.2kw" localSheetId="0">[1]机械!#REF!</definedName>
    <definedName name="潜水泵2.2kw">[1]机械!#REF!</definedName>
    <definedName name="清" localSheetId="1">[3]!清</definedName>
    <definedName name="清">[3]!清</definedName>
    <definedName name="清水池管配件" localSheetId="1">[3]!清水池管配件</definedName>
    <definedName name="清水池管配件">[3]!清水池管配件</definedName>
    <definedName name="热敏脱扣" localSheetId="1">#REF!</definedName>
    <definedName name="热敏脱扣" localSheetId="0">#REF!</definedName>
    <definedName name="热敏脱扣">#REF!</definedName>
    <definedName name="人工工资2">[7]材料单价!$B$3</definedName>
    <definedName name="三号泵站机械设备" localSheetId="1">#REF!</definedName>
    <definedName name="三号泵站机械设备" localSheetId="0">#REF!</definedName>
    <definedName name="三号泵站机械设备">#REF!</definedName>
    <definedName name="市场价" localSheetId="1">[3]!市场价</definedName>
    <definedName name="市场价">[3]!市场价</definedName>
    <definedName name="数据查询" localSheetId="1">[3]!数据查询</definedName>
    <definedName name="数据查询">[3]!数据查询</definedName>
    <definedName name="数据库管理" localSheetId="1">[3]!数据库管理</definedName>
    <definedName name="数据库管理">[3]!数据库管理</definedName>
    <definedName name="双胶轮车" localSheetId="1">[1]机械!#REF!</definedName>
    <definedName name="双胶轮车" localSheetId="0">[1]机械!#REF!</definedName>
    <definedName name="双胶轮车">[1]机械!#REF!</definedName>
    <definedName name="水力冲挖机组4pl_250" localSheetId="1">[1]机械!#REF!</definedName>
    <definedName name="水力冲挖机组4pl_250" localSheetId="0">[1]机械!#REF!</definedName>
    <definedName name="水力冲挖机组4pl_250">[1]机械!#REF!</definedName>
    <definedName name="土方工程" localSheetId="1">[3]!土方工程</definedName>
    <definedName name="土方工程">[3]!土方工程</definedName>
    <definedName name="推土机88kw" localSheetId="1">[1]机械!#REF!</definedName>
    <definedName name="推土机88kw" localSheetId="0">[1]机械!#REF!</definedName>
    <definedName name="推土机88kw">[1]机械!#REF!</definedName>
    <definedName name="洗石机" localSheetId="1">[1]机械!#REF!</definedName>
    <definedName name="洗石机" localSheetId="0">[1]机械!#REF!</definedName>
    <definedName name="洗石机">[1]机械!#REF!</definedName>
    <definedName name="型号" localSheetId="1">#REF!</definedName>
    <definedName name="型号" localSheetId="0">#REF!</definedName>
    <definedName name="型号">#REF!</definedName>
    <definedName name="一" localSheetId="1">[3]!一</definedName>
    <definedName name="一">[3]!一</definedName>
    <definedName name="一号泵站机械设备" localSheetId="1">#REF!</definedName>
    <definedName name="一号泵站机械设备" localSheetId="0">#REF!</definedName>
    <definedName name="一号泵站机械设备">#REF!</definedName>
    <definedName name="有机肥生产车间" localSheetId="1">[3]!有机肥生产车间</definedName>
    <definedName name="有机肥生产车间">[3]!有机肥生产车间</definedName>
    <definedName name="圆形构筑物" localSheetId="1">[3]!圆形构筑物</definedName>
    <definedName name="圆形构筑物">[3]!圆形构筑物</definedName>
    <definedName name="载重汽车10t" localSheetId="1">[1]机械!#REF!</definedName>
    <definedName name="载重汽车10t" localSheetId="0">[1]机械!#REF!</definedName>
    <definedName name="载重汽车10t">[1]机械!#REF!</definedName>
    <definedName name="载重汽车5t" localSheetId="1">[1]机械!#REF!</definedName>
    <definedName name="载重汽车5t" localSheetId="0">[1]机械!#REF!</definedName>
    <definedName name="载重汽车5t">[1]机械!#REF!</definedName>
    <definedName name="装载机1.5立方米" localSheetId="1">[1]机械!#REF!</definedName>
    <definedName name="装载机1.5立方米" localSheetId="0">[1]机械!#REF!</definedName>
    <definedName name="装载机1.5立方米">[1]机械!#REF!</definedName>
    <definedName name="自卸汽车5_t" localSheetId="1">[1]机械!#REF!</definedName>
    <definedName name="自卸汽车5_t" localSheetId="0">[1]机械!#REF!</definedName>
    <definedName name="自卸汽车5_t">[1]机械!#REF!</definedName>
  </definedNames>
  <calcPr calcId="144525" iterate="1" iterateCount="100" iterateDelta="0.001"/>
</workbook>
</file>

<file path=xl/comments1.xml><?xml version="1.0" encoding="utf-8"?>
<comments xmlns="http://schemas.openxmlformats.org/spreadsheetml/2006/main">
  <authors>
    <author>作者</author>
  </authors>
  <commentList>
    <comment ref="V37" authorId="0">
      <text>
        <r>
          <rPr>
            <b/>
            <sz val="9"/>
            <rFont val="宋体"/>
            <charset val="134"/>
          </rPr>
          <t>作者:</t>
        </r>
        <r>
          <rPr>
            <sz val="9"/>
            <rFont val="宋体"/>
            <charset val="134"/>
          </rPr>
          <t xml:space="preserve">
上阶段批复</t>
        </r>
      </text>
    </comment>
    <comment ref="D106" authorId="0">
      <text>
        <r>
          <rPr>
            <b/>
            <sz val="9"/>
            <rFont val="宋体"/>
            <charset val="134"/>
          </rPr>
          <t>作者:</t>
        </r>
        <r>
          <rPr>
            <sz val="9"/>
            <rFont val="宋体"/>
            <charset val="134"/>
          </rPr>
          <t xml:space="preserve">
公路、城市道路</t>
        </r>
      </text>
    </comment>
    <comment ref="E106" authorId="0">
      <text>
        <r>
          <rPr>
            <b/>
            <sz val="9"/>
            <rFont val="宋体"/>
            <charset val="134"/>
          </rPr>
          <t>作者:</t>
        </r>
        <r>
          <rPr>
            <sz val="9"/>
            <rFont val="宋体"/>
            <charset val="134"/>
          </rPr>
          <t xml:space="preserve">
桥梁、隧道</t>
        </r>
      </text>
    </comment>
    <comment ref="F106" authorId="0">
      <text>
        <r>
          <rPr>
            <b/>
            <sz val="9"/>
            <rFont val="宋体"/>
            <charset val="134"/>
          </rPr>
          <t>作者:</t>
        </r>
        <r>
          <rPr>
            <sz val="9"/>
            <rFont val="宋体"/>
            <charset val="134"/>
          </rPr>
          <t xml:space="preserve">
市政</t>
        </r>
      </text>
    </comment>
    <comment ref="G106" authorId="0">
      <text>
        <r>
          <rPr>
            <b/>
            <sz val="9"/>
            <rFont val="宋体"/>
            <charset val="134"/>
          </rPr>
          <t>作者:</t>
        </r>
        <r>
          <rPr>
            <sz val="9"/>
            <rFont val="宋体"/>
            <charset val="134"/>
          </rPr>
          <t xml:space="preserve">
市政</t>
        </r>
      </text>
    </comment>
    <comment ref="H106" authorId="0">
      <text>
        <r>
          <rPr>
            <b/>
            <sz val="9"/>
            <rFont val="宋体"/>
            <charset val="134"/>
          </rPr>
          <t>作者:</t>
        </r>
        <r>
          <rPr>
            <sz val="9"/>
            <rFont val="宋体"/>
            <charset val="134"/>
          </rPr>
          <t xml:space="preserve">
公路、城市道路</t>
        </r>
      </text>
    </comment>
    <comment ref="I106" authorId="0">
      <text>
        <r>
          <rPr>
            <b/>
            <sz val="9"/>
            <rFont val="宋体"/>
            <charset val="134"/>
          </rPr>
          <t>作者:</t>
        </r>
        <r>
          <rPr>
            <sz val="9"/>
            <rFont val="宋体"/>
            <charset val="134"/>
          </rPr>
          <t xml:space="preserve">
园林绿化</t>
        </r>
      </text>
    </comment>
    <comment ref="J106" authorId="0">
      <text>
        <r>
          <rPr>
            <b/>
            <sz val="9"/>
            <rFont val="宋体"/>
            <charset val="134"/>
          </rPr>
          <t>作者:</t>
        </r>
        <r>
          <rPr>
            <sz val="9"/>
            <rFont val="宋体"/>
            <charset val="134"/>
          </rPr>
          <t xml:space="preserve">
建筑，但人防为1.1</t>
        </r>
      </text>
    </comment>
    <comment ref="K106" authorId="0">
      <text>
        <r>
          <rPr>
            <b/>
            <sz val="9"/>
            <rFont val="宋体"/>
            <charset val="134"/>
          </rPr>
          <t>作者:</t>
        </r>
        <r>
          <rPr>
            <sz val="9"/>
            <rFont val="宋体"/>
            <charset val="134"/>
          </rPr>
          <t xml:space="preserve">
其他水利</t>
        </r>
      </text>
    </comment>
    <comment ref="L106" authorId="0">
      <text>
        <r>
          <rPr>
            <b/>
            <sz val="9"/>
            <rFont val="宋体"/>
            <charset val="134"/>
          </rPr>
          <t>作者:</t>
        </r>
        <r>
          <rPr>
            <sz val="9"/>
            <rFont val="宋体"/>
            <charset val="134"/>
          </rPr>
          <t xml:space="preserve">
公路、城市道路</t>
        </r>
      </text>
    </comment>
    <comment ref="M106" authorId="0">
      <text>
        <r>
          <rPr>
            <b/>
            <sz val="9"/>
            <rFont val="宋体"/>
            <charset val="134"/>
          </rPr>
          <t>作者:</t>
        </r>
        <r>
          <rPr>
            <sz val="9"/>
            <rFont val="宋体"/>
            <charset val="134"/>
          </rPr>
          <t xml:space="preserve">
桥梁、隧道</t>
        </r>
      </text>
    </comment>
    <comment ref="N106" authorId="0">
      <text>
        <r>
          <rPr>
            <b/>
            <sz val="9"/>
            <rFont val="宋体"/>
            <charset val="134"/>
          </rPr>
          <t>作者:</t>
        </r>
        <r>
          <rPr>
            <sz val="9"/>
            <rFont val="宋体"/>
            <charset val="134"/>
          </rPr>
          <t xml:space="preserve">
市政</t>
        </r>
      </text>
    </comment>
    <comment ref="O106" authorId="0">
      <text>
        <r>
          <rPr>
            <b/>
            <sz val="9"/>
            <rFont val="宋体"/>
            <charset val="134"/>
          </rPr>
          <t>作者:</t>
        </r>
        <r>
          <rPr>
            <sz val="9"/>
            <rFont val="宋体"/>
            <charset val="134"/>
          </rPr>
          <t xml:space="preserve">
市政</t>
        </r>
      </text>
    </comment>
    <comment ref="P106" authorId="0">
      <text>
        <r>
          <rPr>
            <b/>
            <sz val="9"/>
            <rFont val="宋体"/>
            <charset val="134"/>
          </rPr>
          <t>作者:</t>
        </r>
        <r>
          <rPr>
            <sz val="9"/>
            <rFont val="宋体"/>
            <charset val="134"/>
          </rPr>
          <t xml:space="preserve">
公路、城市道路</t>
        </r>
      </text>
    </comment>
    <comment ref="Q106" authorId="0">
      <text>
        <r>
          <rPr>
            <b/>
            <sz val="9"/>
            <rFont val="宋体"/>
            <charset val="134"/>
          </rPr>
          <t>作者:</t>
        </r>
        <r>
          <rPr>
            <sz val="9"/>
            <rFont val="宋体"/>
            <charset val="134"/>
          </rPr>
          <t xml:space="preserve">
园林绿化</t>
        </r>
      </text>
    </comment>
    <comment ref="R106" authorId="0">
      <text>
        <r>
          <rPr>
            <b/>
            <sz val="9"/>
            <rFont val="宋体"/>
            <charset val="134"/>
          </rPr>
          <t>作者:</t>
        </r>
        <r>
          <rPr>
            <sz val="9"/>
            <rFont val="宋体"/>
            <charset val="134"/>
          </rPr>
          <t xml:space="preserve">
建筑，但人防为1.1</t>
        </r>
      </text>
    </comment>
    <comment ref="S106" authorId="0">
      <text>
        <r>
          <rPr>
            <b/>
            <sz val="9"/>
            <rFont val="宋体"/>
            <charset val="134"/>
          </rPr>
          <t>作者:</t>
        </r>
        <r>
          <rPr>
            <sz val="9"/>
            <rFont val="宋体"/>
            <charset val="134"/>
          </rPr>
          <t xml:space="preserve">
其他水利</t>
        </r>
      </text>
    </comment>
    <comment ref="U106" authorId="0">
      <text>
        <r>
          <rPr>
            <b/>
            <sz val="9"/>
            <rFont val="宋体"/>
            <charset val="134"/>
          </rPr>
          <t>作者:</t>
        </r>
        <r>
          <rPr>
            <sz val="9"/>
            <rFont val="宋体"/>
            <charset val="134"/>
          </rPr>
          <t xml:space="preserve">
水运、地铁</t>
        </r>
      </text>
    </comment>
    <comment ref="D107" authorId="0">
      <text>
        <r>
          <rPr>
            <b/>
            <sz val="9"/>
            <rFont val="宋体"/>
            <charset val="134"/>
          </rPr>
          <t>作者:</t>
        </r>
        <r>
          <rPr>
            <sz val="9"/>
            <rFont val="宋体"/>
            <charset val="134"/>
          </rPr>
          <t xml:space="preserve">
城市主干路、快速路、广场、停车场按III级；街区道路、次干路按II级，其余详见文件</t>
        </r>
      </text>
    </comment>
    <comment ref="E107" authorId="0">
      <text>
        <r>
          <rPr>
            <b/>
            <sz val="9"/>
            <rFont val="宋体"/>
            <charset val="134"/>
          </rPr>
          <t>作者:</t>
        </r>
        <r>
          <rPr>
            <sz val="9"/>
            <rFont val="宋体"/>
            <charset val="134"/>
          </rPr>
          <t xml:space="preserve">
一般为II级，详见文件</t>
        </r>
      </text>
    </comment>
    <comment ref="F107" authorId="0">
      <text>
        <r>
          <rPr>
            <b/>
            <sz val="9"/>
            <rFont val="宋体"/>
            <charset val="134"/>
          </rPr>
          <t>作者:</t>
        </r>
        <r>
          <rPr>
            <sz val="9"/>
            <rFont val="宋体"/>
            <charset val="134"/>
          </rPr>
          <t xml:space="preserve">
&lt;1.0m取I级，城区&lt;1.0m或有简单构筑物取II级，其余为III级</t>
        </r>
      </text>
    </comment>
    <comment ref="G107" authorId="0">
      <text>
        <r>
          <rPr>
            <b/>
            <sz val="9"/>
            <rFont val="宋体"/>
            <charset val="134"/>
          </rPr>
          <t>作者:</t>
        </r>
        <r>
          <rPr>
            <sz val="9"/>
            <rFont val="宋体"/>
            <charset val="134"/>
          </rPr>
          <t xml:space="preserve">
&lt;1.0m取I级，城区&lt;1.0m或有简单构筑物取II级，其余为III级</t>
        </r>
      </text>
    </comment>
    <comment ref="H107" authorId="0">
      <text>
        <r>
          <rPr>
            <b/>
            <sz val="9"/>
            <rFont val="宋体"/>
            <charset val="134"/>
          </rPr>
          <t>作者:</t>
        </r>
        <r>
          <rPr>
            <sz val="9"/>
            <rFont val="宋体"/>
            <charset val="134"/>
          </rPr>
          <t xml:space="preserve">
随道路</t>
        </r>
      </text>
    </comment>
    <comment ref="I107" authorId="0">
      <text>
        <r>
          <rPr>
            <b/>
            <sz val="9"/>
            <rFont val="宋体"/>
            <charset val="134"/>
          </rPr>
          <t>作者:</t>
        </r>
        <r>
          <rPr>
            <sz val="9"/>
            <rFont val="宋体"/>
            <charset val="134"/>
          </rPr>
          <t xml:space="preserve">
一般道路、较高道路、高标准道路</t>
        </r>
      </text>
    </comment>
    <comment ref="L107" authorId="0">
      <text>
        <r>
          <rPr>
            <b/>
            <sz val="9"/>
            <rFont val="宋体"/>
            <charset val="134"/>
          </rPr>
          <t>作者:</t>
        </r>
        <r>
          <rPr>
            <sz val="9"/>
            <rFont val="宋体"/>
            <charset val="134"/>
          </rPr>
          <t xml:space="preserve">
城市主干路、快速路、广场、停车场按III级；街区道路、次干路按II级，其余详见文件</t>
        </r>
      </text>
    </comment>
    <comment ref="M107" authorId="0">
      <text>
        <r>
          <rPr>
            <b/>
            <sz val="9"/>
            <rFont val="宋体"/>
            <charset val="134"/>
          </rPr>
          <t>作者:</t>
        </r>
        <r>
          <rPr>
            <sz val="9"/>
            <rFont val="宋体"/>
            <charset val="134"/>
          </rPr>
          <t xml:space="preserve">
一般为II级，详见文件</t>
        </r>
      </text>
    </comment>
    <comment ref="N107" authorId="0">
      <text>
        <r>
          <rPr>
            <b/>
            <sz val="9"/>
            <rFont val="宋体"/>
            <charset val="134"/>
          </rPr>
          <t>作者:</t>
        </r>
        <r>
          <rPr>
            <sz val="9"/>
            <rFont val="宋体"/>
            <charset val="134"/>
          </rPr>
          <t xml:space="preserve">
&lt;1.0m取I级，城区&lt;1.0m或有简单构筑物取II级，其余为III级</t>
        </r>
      </text>
    </comment>
    <comment ref="O107" authorId="0">
      <text>
        <r>
          <rPr>
            <b/>
            <sz val="9"/>
            <rFont val="宋体"/>
            <charset val="134"/>
          </rPr>
          <t>作者:</t>
        </r>
        <r>
          <rPr>
            <sz val="9"/>
            <rFont val="宋体"/>
            <charset val="134"/>
          </rPr>
          <t xml:space="preserve">
&lt;1.0m取I级，城区&lt;1.0m或有简单构筑物取II级，其余为III级</t>
        </r>
      </text>
    </comment>
    <comment ref="P107" authorId="0">
      <text>
        <r>
          <rPr>
            <b/>
            <sz val="9"/>
            <rFont val="宋体"/>
            <charset val="134"/>
          </rPr>
          <t>作者:</t>
        </r>
        <r>
          <rPr>
            <sz val="9"/>
            <rFont val="宋体"/>
            <charset val="134"/>
          </rPr>
          <t xml:space="preserve">
随道路</t>
        </r>
      </text>
    </comment>
    <comment ref="Q107" authorId="0">
      <text>
        <r>
          <rPr>
            <b/>
            <sz val="9"/>
            <rFont val="宋体"/>
            <charset val="134"/>
          </rPr>
          <t>作者:</t>
        </r>
        <r>
          <rPr>
            <sz val="9"/>
            <rFont val="宋体"/>
            <charset val="134"/>
          </rPr>
          <t xml:space="preserve">
一般道路、较高道路、高标准道路</t>
        </r>
      </text>
    </comment>
    <comment ref="U107" authorId="0">
      <text>
        <r>
          <rPr>
            <b/>
            <sz val="9"/>
            <rFont val="宋体"/>
            <charset val="134"/>
          </rPr>
          <t>作者:</t>
        </r>
        <r>
          <rPr>
            <sz val="9"/>
            <rFont val="宋体"/>
            <charset val="134"/>
          </rPr>
          <t xml:space="preserve">
疏浚、吹填为I级，其余按文件</t>
        </r>
      </text>
    </comment>
    <comment ref="C108" authorId="0">
      <text>
        <r>
          <rPr>
            <b/>
            <sz val="9"/>
            <rFont val="宋体"/>
            <charset val="134"/>
          </rPr>
          <t>作者:</t>
        </r>
        <r>
          <rPr>
            <sz val="9"/>
            <rFont val="宋体"/>
            <charset val="134"/>
          </rPr>
          <t xml:space="preserve">
改建系数为1.1～1.4
如有其他，将各系数相加后减去附加系数个数，然后加1，作为附加调整系数</t>
        </r>
      </text>
    </comment>
    <comment ref="D117" authorId="0">
      <text>
        <r>
          <rPr>
            <b/>
            <sz val="9"/>
            <rFont val="宋体"/>
            <charset val="134"/>
          </rPr>
          <t>作者:</t>
        </r>
        <r>
          <rPr>
            <sz val="9"/>
            <rFont val="宋体"/>
            <charset val="134"/>
          </rPr>
          <t xml:space="preserve">
城市道路为II类，其余看文件</t>
        </r>
      </text>
    </comment>
    <comment ref="E117" authorId="0">
      <text>
        <r>
          <rPr>
            <b/>
            <sz val="9"/>
            <rFont val="宋体"/>
            <charset val="134"/>
          </rPr>
          <t>作者:</t>
        </r>
        <r>
          <rPr>
            <sz val="9"/>
            <rFont val="宋体"/>
            <charset val="134"/>
          </rPr>
          <t xml:space="preserve">
城市桥梁为II类，其余看文件</t>
        </r>
      </text>
    </comment>
    <comment ref="F117" authorId="0">
      <text>
        <r>
          <rPr>
            <b/>
            <sz val="9"/>
            <rFont val="宋体"/>
            <charset val="134"/>
          </rPr>
          <t>作者:</t>
        </r>
        <r>
          <rPr>
            <sz val="9"/>
            <rFont val="宋体"/>
            <charset val="134"/>
          </rPr>
          <t xml:space="preserve">
&lt;1.0m给排水管线I类
&gt;=1.0m给排水管线II类</t>
        </r>
      </text>
    </comment>
    <comment ref="G117" authorId="0">
      <text>
        <r>
          <rPr>
            <b/>
            <sz val="9"/>
            <rFont val="宋体"/>
            <charset val="134"/>
          </rPr>
          <t>作者:</t>
        </r>
        <r>
          <rPr>
            <sz val="9"/>
            <rFont val="宋体"/>
            <charset val="134"/>
          </rPr>
          <t xml:space="preserve">
&lt;1.0m给排水管线I类
&gt;=1.0m给排水管线II类</t>
        </r>
      </text>
    </comment>
    <comment ref="I117" authorId="0">
      <text>
        <r>
          <rPr>
            <b/>
            <sz val="9"/>
            <rFont val="宋体"/>
            <charset val="134"/>
          </rPr>
          <t>作者:</t>
        </r>
        <r>
          <rPr>
            <sz val="9"/>
            <rFont val="宋体"/>
            <charset val="134"/>
          </rPr>
          <t xml:space="preserve">
园林绿化为II类</t>
        </r>
      </text>
    </comment>
    <comment ref="L117" authorId="0">
      <text>
        <r>
          <rPr>
            <b/>
            <sz val="9"/>
            <rFont val="宋体"/>
            <charset val="134"/>
          </rPr>
          <t>作者:</t>
        </r>
        <r>
          <rPr>
            <sz val="9"/>
            <rFont val="宋体"/>
            <charset val="134"/>
          </rPr>
          <t xml:space="preserve">
城市道路为II类，其余看文件</t>
        </r>
      </text>
    </comment>
    <comment ref="M117" authorId="0">
      <text>
        <r>
          <rPr>
            <b/>
            <sz val="9"/>
            <rFont val="宋体"/>
            <charset val="134"/>
          </rPr>
          <t>作者:</t>
        </r>
        <r>
          <rPr>
            <sz val="9"/>
            <rFont val="宋体"/>
            <charset val="134"/>
          </rPr>
          <t xml:space="preserve">
城市桥梁为II类，其余看文件</t>
        </r>
      </text>
    </comment>
    <comment ref="N117" authorId="0">
      <text>
        <r>
          <rPr>
            <b/>
            <sz val="9"/>
            <rFont val="宋体"/>
            <charset val="134"/>
          </rPr>
          <t>作者:</t>
        </r>
        <r>
          <rPr>
            <sz val="9"/>
            <rFont val="宋体"/>
            <charset val="134"/>
          </rPr>
          <t xml:space="preserve">
&lt;1.0m给排水管线I类
&gt;=1.0m给排水管线II类</t>
        </r>
      </text>
    </comment>
    <comment ref="O117" authorId="0">
      <text>
        <r>
          <rPr>
            <b/>
            <sz val="9"/>
            <rFont val="宋体"/>
            <charset val="134"/>
          </rPr>
          <t>作者:</t>
        </r>
        <r>
          <rPr>
            <sz val="9"/>
            <rFont val="宋体"/>
            <charset val="134"/>
          </rPr>
          <t xml:space="preserve">
&lt;1.0m给排水管线I类
&gt;=1.0m给排水管线II类</t>
        </r>
      </text>
    </comment>
    <comment ref="Q117" authorId="0">
      <text>
        <r>
          <rPr>
            <b/>
            <sz val="9"/>
            <rFont val="宋体"/>
            <charset val="134"/>
          </rPr>
          <t>作者:</t>
        </r>
        <r>
          <rPr>
            <sz val="9"/>
            <rFont val="宋体"/>
            <charset val="134"/>
          </rPr>
          <t xml:space="preserve">
园林绿化为II类</t>
        </r>
      </text>
    </comment>
  </commentList>
</comments>
</file>

<file path=xl/sharedStrings.xml><?xml version="1.0" encoding="utf-8"?>
<sst xmlns="http://schemas.openxmlformats.org/spreadsheetml/2006/main" count="494" uniqueCount="336">
  <si>
    <t>东岸湿地公园综合整治工程概算评审对比表</t>
  </si>
  <si>
    <t xml:space="preserve">  建设项目名称：东岸湿地公园综合整治工程</t>
  </si>
  <si>
    <t>序号</t>
  </si>
  <si>
    <t>工程或费用名称</t>
  </si>
  <si>
    <t>送审修改后概算金额(万元)</t>
  </si>
  <si>
    <t>送审修改后技术经济指标</t>
  </si>
  <si>
    <t>评审后概算金额(万元)</t>
  </si>
  <si>
    <t>评审后技术经济指标</t>
  </si>
  <si>
    <t>评审差异（核增+、核减-）（万元）</t>
  </si>
  <si>
    <t>备注</t>
  </si>
  <si>
    <t>红线宽度</t>
  </si>
  <si>
    <t>面积</t>
  </si>
  <si>
    <t>指标1</t>
  </si>
  <si>
    <t>面积相加</t>
  </si>
  <si>
    <t>指标2</t>
  </si>
  <si>
    <t>公里</t>
  </si>
  <si>
    <t>指标3</t>
  </si>
  <si>
    <t>建筑工程</t>
  </si>
  <si>
    <t>安装工程</t>
  </si>
  <si>
    <t>设备及工器具购置</t>
  </si>
  <si>
    <t>其他费用</t>
  </si>
  <si>
    <t>合计</t>
  </si>
  <si>
    <t>单位</t>
  </si>
  <si>
    <t>数量</t>
  </si>
  <si>
    <t>单位价值(元)</t>
  </si>
  <si>
    <t>第一部分工程费用</t>
  </si>
  <si>
    <t>D~G列不要有汇总，H5汇总，若有颜色说明汇总不对</t>
  </si>
  <si>
    <t>一</t>
  </si>
  <si>
    <t>景观工程</t>
  </si>
  <si>
    <t>m2</t>
  </si>
  <si>
    <t>绿化工程</t>
  </si>
  <si>
    <t>加入了节点中心的栈道</t>
  </si>
  <si>
    <t>硬质铺装</t>
  </si>
  <si>
    <t>包括绿道划线、绿道划线图案、破损沥青路面更新、家具设施更新、场地铺装提升等</t>
  </si>
  <si>
    <t>小品和设施</t>
  </si>
  <si>
    <t>包括标志牌、台阶前提示钉、公园出入口升降式阻车桩、成品岗亭、乒乓球桌等</t>
  </si>
  <si>
    <t>景观强电工程</t>
  </si>
  <si>
    <t>第一部分费用合计</t>
  </si>
  <si>
    <t>第二部分工程建设其他费用</t>
  </si>
  <si>
    <t>建设单位管理费</t>
  </si>
  <si>
    <t>财建[2016]504号</t>
  </si>
  <si>
    <t>0.3%~0.6%</t>
  </si>
  <si>
    <t>场地准备及临时设施费</t>
  </si>
  <si>
    <t>暂按建安费*1%计算</t>
  </si>
  <si>
    <t>暂按建安费*0.35%计算</t>
  </si>
  <si>
    <t>招标代理服务费</t>
  </si>
  <si>
    <t>0.8%~1.1%,水利、建筑、景观按其他方法</t>
  </si>
  <si>
    <t>施工招标代理</t>
  </si>
  <si>
    <t>参照琼价费管[2011]225号文，考虑市场因素下浮百分之十</t>
  </si>
  <si>
    <t>参照琼价费管[2011]225号文，考虑市场因素下浮百分之二十</t>
  </si>
  <si>
    <t>工程保险费</t>
  </si>
  <si>
    <t>暂按建安费*0.4%计算，考虑市场因素下浮百分之十</t>
  </si>
  <si>
    <t>暂按建安费*0.3%</t>
  </si>
  <si>
    <t>工程监理费</t>
  </si>
  <si>
    <t>参照发改价格[2007]670号文，考虑市场因素下浮百分之十</t>
  </si>
  <si>
    <t>参照发改价格[2007]670号文，考虑市场因素下浮百分之二十</t>
  </si>
  <si>
    <t>勘察费</t>
  </si>
  <si>
    <t>按建安费*1%计列，考虑市场因素下浮百分之十</t>
  </si>
  <si>
    <t>取消计取</t>
  </si>
  <si>
    <t>环境影响咨询费</t>
  </si>
  <si>
    <t>暂定合同价，后续以实际发生为准</t>
  </si>
  <si>
    <t>参考计价格〔2002〕125号，下浮20%</t>
  </si>
  <si>
    <t>设计费</t>
  </si>
  <si>
    <t>计价格[2002] 10 号，下浮20%</t>
  </si>
  <si>
    <t>水土保持方案编制费</t>
  </si>
  <si>
    <t>参照保监[2005]22号文，考虑市场因素下浮百分之十</t>
  </si>
  <si>
    <t>参照保监[2005]22号文，考虑市场因素下浮百分之五十</t>
  </si>
  <si>
    <t>水土保持监测费</t>
  </si>
  <si>
    <t>水土保持设施竣工验收技术评估报告编制费</t>
  </si>
  <si>
    <t>施工图审查费</t>
  </si>
  <si>
    <t>参照琼价费管[2011]224号文，考虑市场因素下浮百分之十</t>
  </si>
  <si>
    <t>参照琼价费管[2011]224号文，考虑市场因素下浮百分之二十</t>
  </si>
  <si>
    <t>工程造价咨询费</t>
  </si>
  <si>
    <t>工程量清单及控制价编制</t>
  </si>
  <si>
    <t>参照琼价协[2020]001号文，考虑市场因素下浮百分之十</t>
  </si>
  <si>
    <t>参照琼价协[2020]001号文，考虑市场因素下浮百分之二十</t>
  </si>
  <si>
    <t>需要修改</t>
  </si>
  <si>
    <t>结算审核</t>
  </si>
  <si>
    <t>水土保持补偿费</t>
  </si>
  <si>
    <t>参照琼府办[2006]61号文，考虑市场因素下浮百分之十</t>
  </si>
  <si>
    <t>琼发改收费〔2021〕716号</t>
  </si>
  <si>
    <t>若以下内容无，可以删除数据后隐藏该行及以下行，仅保留总投资</t>
  </si>
  <si>
    <t>市政接驳费</t>
  </si>
  <si>
    <t>暂估</t>
  </si>
  <si>
    <t>防洪评价费</t>
  </si>
  <si>
    <t>水保监【2005】22 号，下浮50%</t>
  </si>
  <si>
    <t>工程质量检测费</t>
  </si>
  <si>
    <t>工程费*0.7%</t>
  </si>
  <si>
    <t>生物多样性评估及符合生态保护红线内有限人为活动论证报告编制费</t>
  </si>
  <si>
    <t>林建协[2024]54号、计价格〔2002〕125号</t>
  </si>
  <si>
    <t>测量物探费</t>
  </si>
  <si>
    <t>第二部分费用合计</t>
  </si>
  <si>
    <t>第一、二部分费用合计</t>
  </si>
  <si>
    <t>第三部分预备费用</t>
  </si>
  <si>
    <t>基本预备费   5%</t>
  </si>
  <si>
    <t>第一、二、三部分费用合计</t>
  </si>
  <si>
    <t>工程总投资</t>
  </si>
  <si>
    <t>项目</t>
  </si>
  <si>
    <t>金额</t>
  </si>
  <si>
    <t>占比</t>
  </si>
  <si>
    <t>取费项目</t>
  </si>
  <si>
    <t>适用地区</t>
  </si>
  <si>
    <t>计算式</t>
  </si>
  <si>
    <t>取费基数</t>
  </si>
  <si>
    <t>费率</t>
  </si>
  <si>
    <t>文号</t>
  </si>
  <si>
    <t>工程费用</t>
  </si>
  <si>
    <t>一、建设单位管理费（总投资基数）</t>
  </si>
  <si>
    <t>财建[2002]394号</t>
  </si>
  <si>
    <t>工程建设其他费用</t>
  </si>
  <si>
    <t xml:space="preserve">    建设单位管理费（总投资基数）</t>
  </si>
  <si>
    <t>财建［2016］504号</t>
  </si>
  <si>
    <t>预备费</t>
  </si>
  <si>
    <t xml:space="preserve">    建设单位管理费（建安费基数）</t>
  </si>
  <si>
    <t>三府[2014]70号</t>
  </si>
  <si>
    <t>总投资</t>
  </si>
  <si>
    <t>海府办[2011]150号</t>
  </si>
  <si>
    <t>二、建设项目前期工作咨询费（总投资基数）</t>
  </si>
  <si>
    <t>1、编制项目建议书</t>
  </si>
  <si>
    <t>2、编制可行性研究报告</t>
  </si>
  <si>
    <t>3、评估项目建议书</t>
  </si>
  <si>
    <t>4、评估可行性研究报告</t>
  </si>
  <si>
    <t>5、其他</t>
  </si>
  <si>
    <t>三、环境影响评价费（总投资基数）</t>
  </si>
  <si>
    <t>1、编制环境影响报告书（含大纲）</t>
  </si>
  <si>
    <t>2、编制环境影响报告表</t>
  </si>
  <si>
    <t>3、评估环境影响报告书（含大纲）</t>
  </si>
  <si>
    <t>4、评估环境影响报告表</t>
  </si>
  <si>
    <t>四、招标代理服务费</t>
  </si>
  <si>
    <t>琼价费管[2011]225号，在计价格[2002]125号基础上对5亿以上投资减少，增加了最高限价</t>
  </si>
  <si>
    <t>1、勘察招标代理（总投资基数）</t>
  </si>
  <si>
    <t>2、设计招标代理（总投资基数）</t>
  </si>
  <si>
    <t>3、施工监理招标代理（建安费基数）</t>
  </si>
  <si>
    <t>4、施工招标代理（建安费基数）</t>
  </si>
  <si>
    <t>四、招投标交易服务费</t>
  </si>
  <si>
    <t>琼发改收费[2005]1140号</t>
  </si>
  <si>
    <t>1、勘察招标代理</t>
  </si>
  <si>
    <t>2、设计招标代理</t>
  </si>
  <si>
    <t>3、施工监理招标代理</t>
  </si>
  <si>
    <t>4、施工招标代理</t>
  </si>
  <si>
    <t>五、施工图审查费</t>
  </si>
  <si>
    <r>
      <rPr>
        <sz val="10"/>
        <rFont val="宋体"/>
        <charset val="134"/>
      </rPr>
      <t>琼价费管</t>
    </r>
    <r>
      <rPr>
        <sz val="10"/>
        <rFont val="Arial"/>
        <charset val="134"/>
      </rPr>
      <t>[2011]224</t>
    </r>
    <r>
      <rPr>
        <sz val="10"/>
        <rFont val="宋体"/>
        <charset val="134"/>
        <scheme val="minor"/>
      </rPr>
      <t>号</t>
    </r>
  </si>
  <si>
    <t>1、勘察审查</t>
  </si>
  <si>
    <t>2、施工图审查</t>
  </si>
  <si>
    <t>3、其他</t>
  </si>
  <si>
    <t>六、工程造价咨询费</t>
  </si>
  <si>
    <t>琼价协[2020]001号</t>
  </si>
  <si>
    <t>1、概算审核</t>
  </si>
  <si>
    <t>2、工程量清单</t>
  </si>
  <si>
    <t>3、预算或结算审核</t>
  </si>
  <si>
    <t>4、施工阶段全过程造价控制费</t>
  </si>
  <si>
    <t>七、水土保持费</t>
  </si>
  <si>
    <t>仅计水土保持方案编制费</t>
  </si>
  <si>
    <t>1、水土保持方案编制费</t>
  </si>
  <si>
    <t>2、水土保持监测费</t>
  </si>
  <si>
    <t>3、水土保持设施竣工验收技术评估报告编制费</t>
  </si>
  <si>
    <t>4、水土保持技术文件技术咨询服务费</t>
  </si>
  <si>
    <t>八、PPP咨询服务费</t>
  </si>
  <si>
    <t>行业系数</t>
  </si>
  <si>
    <t>复杂系数</t>
  </si>
  <si>
    <t>折扣</t>
  </si>
  <si>
    <t>1、初步实施方案</t>
  </si>
  <si>
    <t>2、《财政承受能力论证报告》</t>
  </si>
  <si>
    <t>3、《物有所值评价报告》</t>
  </si>
  <si>
    <t>4、实施方案</t>
  </si>
  <si>
    <t>5、PPP项目合同咨询</t>
  </si>
  <si>
    <t>6、项目期中及后评价报告</t>
  </si>
  <si>
    <t>名称</t>
  </si>
  <si>
    <t>道路工程</t>
  </si>
  <si>
    <t>桥涵工程</t>
  </si>
  <si>
    <t>公用管线</t>
  </si>
  <si>
    <t>排水工程</t>
  </si>
  <si>
    <t>附属工程</t>
  </si>
  <si>
    <t>水运工程</t>
  </si>
  <si>
    <t>投资</t>
  </si>
  <si>
    <t>设计费费率</t>
  </si>
  <si>
    <t>基准设计费</t>
  </si>
  <si>
    <t>专业系数</t>
  </si>
  <si>
    <t>附加调整系数</t>
  </si>
  <si>
    <t>监理费费率</t>
  </si>
  <si>
    <t>基准监理费</t>
  </si>
  <si>
    <t>监理费</t>
  </si>
  <si>
    <t>贷款额</t>
  </si>
  <si>
    <t>市  政  工  程  估  算  表</t>
  </si>
  <si>
    <t>电气设备</t>
  </si>
  <si>
    <t>编制依据</t>
  </si>
  <si>
    <t>计算</t>
  </si>
  <si>
    <t>数 量</t>
  </si>
  <si>
    <t>估 算 价 值( 元 )</t>
  </si>
  <si>
    <t>单 价</t>
  </si>
  <si>
    <t>单 价*1.05</t>
  </si>
  <si>
    <t>取定价</t>
  </si>
  <si>
    <t>污水管道 DN300 2.5m</t>
  </si>
  <si>
    <t>米</t>
  </si>
  <si>
    <t>污水管道 DN300 2.5m 沥青路面</t>
  </si>
  <si>
    <t>污水管道 DN300 2.5m 水泥路面</t>
  </si>
  <si>
    <t>污水管道 DN300 3m 沥青路面</t>
  </si>
  <si>
    <t>污水管道 DN300 3m 水泥路面</t>
  </si>
  <si>
    <t>污水管道 DN300 3.5m 沥青路面</t>
  </si>
  <si>
    <t>污水管道 DN300 3.5m 水泥路面</t>
  </si>
  <si>
    <t>污水管道 DN300 4m 沥青路面</t>
  </si>
  <si>
    <t>污水管道 DN300 4m 水泥路面</t>
  </si>
  <si>
    <t>污水管道 DN400 2.5m 沥青路面</t>
  </si>
  <si>
    <t>污水管道 DN400 2.5m 水泥路面</t>
  </si>
  <si>
    <t>污水管道 DN400 3m 沥青路面</t>
  </si>
  <si>
    <t>污水管道 DN400 3m 水泥路面</t>
  </si>
  <si>
    <t>污水管道 DN400 3.5m 沥青路面</t>
  </si>
  <si>
    <t>污水管道 DN400 3.5m 水泥路面</t>
  </si>
  <si>
    <t>污水管道 DN400 4m 沥青路面</t>
  </si>
  <si>
    <t>污水管道 DN400 4m 水泥路面</t>
  </si>
  <si>
    <t>污水管道 DN400 4.5m 沥青路面</t>
  </si>
  <si>
    <t>污水管道 DN400 4.5m 水泥路面</t>
  </si>
  <si>
    <t>污水管道 DN400 5m 沥青路面</t>
  </si>
  <si>
    <t>污水管道 DN400 5m 水泥路面</t>
  </si>
  <si>
    <t>污水管道 DN500 5m 沥青路面</t>
  </si>
  <si>
    <t>污水管道 DN500 5m 水泥路面</t>
  </si>
  <si>
    <t>污水管道 DN500 5.5m 沥青路面</t>
  </si>
  <si>
    <t>污水管道 DN500 5.5m 水泥路面</t>
  </si>
  <si>
    <t>污水管道 DN600 6m 沥青路面</t>
  </si>
  <si>
    <t>污水管道 DN600 6m 水泥路面</t>
  </si>
  <si>
    <t>污水管道 DN600 6.5m 沥青路面</t>
  </si>
  <si>
    <t>污水管道 DN600 6.5m 水泥路面</t>
  </si>
  <si>
    <t>接户管 De160 1.5m</t>
  </si>
  <si>
    <t>接户管 De160 1.5m 沥青路面</t>
  </si>
  <si>
    <t>接户管 De160 1.5m 水泥路面</t>
  </si>
  <si>
    <t>污水压力管 DN150 1.5m 沥青路面</t>
  </si>
  <si>
    <t>污水压力管 DN150 1.5m 水泥路面</t>
  </si>
  <si>
    <t>接户井 500*500 钢筋混凝土</t>
  </si>
  <si>
    <t>个</t>
  </si>
  <si>
    <t>化粪池</t>
  </si>
  <si>
    <t>一号污水提升泵站 200m3/d</t>
  </si>
  <si>
    <t>座</t>
  </si>
  <si>
    <t>拆除混凝土路面</t>
  </si>
  <si>
    <t>恢复混凝土路面</t>
  </si>
  <si>
    <t>拆除沥青路面</t>
  </si>
  <si>
    <t>恢复沥青路面</t>
  </si>
  <si>
    <t>小计</t>
  </si>
  <si>
    <t>元</t>
  </si>
  <si>
    <t>次要项目费 5%</t>
  </si>
  <si>
    <t>安装费 15%</t>
  </si>
  <si>
    <t>工程造价</t>
  </si>
  <si>
    <t>单价</t>
  </si>
  <si>
    <t>一级园路（3米）</t>
  </si>
  <si>
    <t>二级园路（2米）</t>
  </si>
  <si>
    <t>广场</t>
  </si>
  <si>
    <t>汀步</t>
  </si>
  <si>
    <t>生态停车场</t>
  </si>
  <si>
    <t>非机动车停车场</t>
  </si>
  <si>
    <t>木平台+木栈道</t>
  </si>
  <si>
    <t>景观廊架1</t>
  </si>
  <si>
    <t>景观廊架2</t>
  </si>
  <si>
    <t>景观亭</t>
  </si>
  <si>
    <t>雕塑</t>
  </si>
  <si>
    <t>花池座凳</t>
  </si>
  <si>
    <t>散置景石</t>
  </si>
  <si>
    <t>条石坐凳</t>
  </si>
  <si>
    <t>挡土墙</t>
  </si>
  <si>
    <t>台阶</t>
  </si>
  <si>
    <t>标示系统</t>
  </si>
  <si>
    <t>垃圾筒</t>
  </si>
  <si>
    <t>座凳</t>
  </si>
  <si>
    <t>伞椅</t>
  </si>
  <si>
    <t>充电桩（快充）</t>
  </si>
  <si>
    <t>充电桩（慢充）</t>
  </si>
  <si>
    <t>栏杆</t>
  </si>
  <si>
    <t>沙滩伞座</t>
  </si>
  <si>
    <t>游泳池</t>
  </si>
  <si>
    <t>雕塑铭牌</t>
  </si>
  <si>
    <t>防护结构挡墙（沉箱）</t>
  </si>
  <si>
    <t>抛石护岸</t>
  </si>
  <si>
    <t>种植土</t>
  </si>
  <si>
    <t>挖土</t>
  </si>
  <si>
    <t>余土外运</t>
  </si>
  <si>
    <t>健身设施</t>
  </si>
  <si>
    <t>树池座凳</t>
  </si>
  <si>
    <t>填方</t>
  </si>
  <si>
    <t>节点面积</t>
  </si>
  <si>
    <t>总面积</t>
  </si>
  <si>
    <t>沿线</t>
  </si>
  <si>
    <t>给排水</t>
  </si>
  <si>
    <t>节点</t>
  </si>
  <si>
    <t>红色记忆</t>
  </si>
  <si>
    <t>美夏港湾</t>
  </si>
  <si>
    <t>兰麦听涛</t>
  </si>
  <si>
    <t>弱电</t>
  </si>
  <si>
    <t>其他区域弱电</t>
  </si>
  <si>
    <t xml:space="preserve">博纵观霞 </t>
  </si>
  <si>
    <t>节点一</t>
  </si>
  <si>
    <t>节点二</t>
  </si>
  <si>
    <t>节点三</t>
  </si>
  <si>
    <t>节点四</t>
  </si>
  <si>
    <t>强电</t>
  </si>
  <si>
    <t>其他区域强电</t>
  </si>
  <si>
    <t>贷款利息</t>
  </si>
  <si>
    <t>建设期贷款利息计算</t>
  </si>
  <si>
    <t>年份</t>
  </si>
  <si>
    <t>合</t>
  </si>
  <si>
    <t>利率</t>
  </si>
  <si>
    <t>建设期</t>
  </si>
  <si>
    <t>计</t>
  </si>
  <si>
    <r>
      <rPr>
        <sz val="10"/>
        <color indexed="8"/>
        <rFont val="宋体"/>
        <charset val="134"/>
      </rPr>
      <t>（</t>
    </r>
    <r>
      <rPr>
        <sz val="10"/>
        <color indexed="8"/>
        <rFont val="Times New Roman"/>
        <charset val="134"/>
      </rPr>
      <t>%</t>
    </r>
    <r>
      <rPr>
        <sz val="10"/>
        <color indexed="8"/>
        <rFont val="宋体"/>
        <charset val="134"/>
      </rPr>
      <t>）</t>
    </r>
  </si>
  <si>
    <t>第一年</t>
  </si>
  <si>
    <t>第二年</t>
  </si>
  <si>
    <t>年度贷款比例</t>
  </si>
  <si>
    <t>年度贷款额</t>
  </si>
  <si>
    <t>资本金10％</t>
  </si>
  <si>
    <t>资本金用款计划</t>
  </si>
  <si>
    <t>年初借款本息累计</t>
  </si>
  <si>
    <t>本年借款</t>
  </si>
  <si>
    <t>本年应计利息</t>
  </si>
  <si>
    <t>银行贷款利息</t>
  </si>
  <si>
    <t>资本金20％</t>
  </si>
  <si>
    <t>投资计划与资金筹措表</t>
  </si>
  <si>
    <t>附表2</t>
  </si>
  <si>
    <t>建设投资</t>
  </si>
  <si>
    <t>利息合计</t>
  </si>
  <si>
    <t>建设期利息1</t>
  </si>
  <si>
    <t>建设期利息2</t>
  </si>
  <si>
    <t>资金筹措</t>
  </si>
  <si>
    <t>项目资本金</t>
  </si>
  <si>
    <t>造价20%</t>
  </si>
  <si>
    <t>2.1.1</t>
  </si>
  <si>
    <t>政府配套10%</t>
  </si>
  <si>
    <t>2.1.2</t>
  </si>
  <si>
    <t>银行借款1</t>
  </si>
  <si>
    <t xml:space="preserve">银行配套10%，利率3.6%  </t>
  </si>
  <si>
    <t>银行借款2</t>
  </si>
  <si>
    <t>自筹资金</t>
  </si>
  <si>
    <t>总投资（不含贷款利息）</t>
  </si>
  <si>
    <t>、</t>
  </si>
  <si>
    <t>贷款年限</t>
  </si>
  <si>
    <t>贷款金额</t>
  </si>
  <si>
    <t>刚问了下王行长    本金部分20%   10%需政府配套   10%银行可以配套 利率3.6%    贷款部分利率先按4.9%算</t>
  </si>
  <si>
    <t>驿站建筑面积</t>
  </si>
  <si>
    <t>构筑物建筑面积</t>
  </si>
  <si>
    <t>红线面积</t>
  </si>
</sst>
</file>

<file path=xl/styles.xml><?xml version="1.0" encoding="utf-8"?>
<styleSheet xmlns="http://schemas.openxmlformats.org/spreadsheetml/2006/main">
  <numFmts count="17">
    <numFmt numFmtId="176" formatCode="&quot;$&quot;#,##0.00_);[Red]\(&quot;$&quot;#,##0.00\)"/>
    <numFmt numFmtId="177" formatCode="#."/>
    <numFmt numFmtId="178" formatCode="0_);\(0\)"/>
    <numFmt numFmtId="179" formatCode="_(* #,##0_);_(* \(#,##0\);_(* &quot;-&quot;_);_(@_)"/>
    <numFmt numFmtId="43" formatCode="_ * #,##0.00_ ;_ * \-#,##0.00_ ;_ * &quot;-&quot;??_ ;_ @_ "/>
    <numFmt numFmtId="180" formatCode="0.00_ "/>
    <numFmt numFmtId="42" formatCode="_ &quot;￥&quot;* #,##0_ ;_ &quot;￥&quot;* \-#,##0_ ;_ &quot;￥&quot;* &quot;-&quot;_ ;_ @_ "/>
    <numFmt numFmtId="181" formatCode="0_ "/>
    <numFmt numFmtId="44" formatCode="_ &quot;￥&quot;* #,##0.00_ ;_ &quot;￥&quot;* \-#,##0.00_ ;_ &quot;￥&quot;* &quot;-&quot;??_ ;_ @_ "/>
    <numFmt numFmtId="182" formatCode="0;[Red]0"/>
    <numFmt numFmtId="41" formatCode="_ * #,##0_ ;_ * \-#,##0_ ;_ * &quot;-&quot;_ ;_ @_ "/>
    <numFmt numFmtId="183" formatCode="&quot;$&quot;#,##0_);[Red]\(&quot;$&quot;#,##0\)"/>
    <numFmt numFmtId="184" formatCode="0.0%"/>
    <numFmt numFmtId="185" formatCode="_(* #,##0.00_);_(* \(#,##0.00\);_(* &quot;-&quot;??_);_(@_)"/>
    <numFmt numFmtId="186" formatCode="0.000%"/>
    <numFmt numFmtId="187" formatCode="0_);[Red]\(0\)"/>
    <numFmt numFmtId="188" formatCode="0.00;[Red]0.00"/>
  </numFmts>
  <fonts count="84">
    <font>
      <sz val="11"/>
      <color theme="1"/>
      <name val="宋体"/>
      <charset val="134"/>
      <scheme val="minor"/>
    </font>
    <font>
      <sz val="12"/>
      <name val="宋体"/>
      <charset val="134"/>
    </font>
    <font>
      <sz val="12"/>
      <color rgb="FFFF0000"/>
      <name val="宋体"/>
      <charset val="134"/>
    </font>
    <font>
      <b/>
      <sz val="16"/>
      <name val="宋体"/>
      <charset val="134"/>
    </font>
    <font>
      <b/>
      <sz val="12"/>
      <name val="宋体"/>
      <charset val="134"/>
    </font>
    <font>
      <b/>
      <sz val="12"/>
      <color rgb="FFFF0000"/>
      <name val="宋体"/>
      <charset val="134"/>
    </font>
    <font>
      <sz val="12"/>
      <color rgb="FF333333"/>
      <name val="Arial"/>
      <charset val="0"/>
    </font>
    <font>
      <b/>
      <sz val="14"/>
      <color indexed="8"/>
      <name val="宋体"/>
      <charset val="134"/>
    </font>
    <font>
      <sz val="12"/>
      <color indexed="8"/>
      <name val="宋体"/>
      <charset val="134"/>
    </font>
    <font>
      <sz val="10"/>
      <color indexed="8"/>
      <name val="宋体"/>
      <charset val="134"/>
    </font>
    <font>
      <sz val="12"/>
      <color rgb="FF000000"/>
      <name val="宋体"/>
      <charset val="134"/>
    </font>
    <font>
      <sz val="10"/>
      <color indexed="8"/>
      <name val="Times New Roman"/>
      <charset val="134"/>
    </font>
    <font>
      <b/>
      <sz val="10"/>
      <color indexed="8"/>
      <name val="宋体"/>
      <charset val="134"/>
    </font>
    <font>
      <sz val="12"/>
      <color indexed="8"/>
      <name val="Times New Roman"/>
      <charset val="134"/>
    </font>
    <font>
      <sz val="14"/>
      <color rgb="FF000000"/>
      <name val="宋体"/>
      <charset val="134"/>
    </font>
    <font>
      <sz val="14"/>
      <color rgb="FF000000"/>
      <name val="Times New Roman"/>
      <charset val="134"/>
    </font>
    <font>
      <sz val="10"/>
      <name val="Times New Roman"/>
      <charset val="134"/>
    </font>
    <font>
      <sz val="10"/>
      <name val="宋体"/>
      <charset val="134"/>
    </font>
    <font>
      <sz val="10"/>
      <name val="Times New Roman"/>
      <charset val="0"/>
    </font>
    <font>
      <sz val="12"/>
      <color rgb="FF000000"/>
      <name val="宋体"/>
      <charset val="134"/>
      <scheme val="minor"/>
    </font>
    <font>
      <sz val="12"/>
      <name val="Times New Roman"/>
      <charset val="134"/>
    </font>
    <font>
      <sz val="14"/>
      <name val="宋体"/>
      <charset val="134"/>
    </font>
    <font>
      <sz val="8"/>
      <name val="宋体"/>
      <charset val="134"/>
    </font>
    <font>
      <sz val="9"/>
      <name val="宋体"/>
      <charset val="134"/>
    </font>
    <font>
      <b/>
      <sz val="10"/>
      <name val="宋体"/>
      <charset val="134"/>
    </font>
    <font>
      <sz val="11"/>
      <name val="宋体"/>
      <charset val="134"/>
    </font>
    <font>
      <b/>
      <sz val="18"/>
      <name val="宋体"/>
      <charset val="134"/>
    </font>
    <font>
      <sz val="10"/>
      <name val="Calibri"/>
      <charset val="134"/>
    </font>
    <font>
      <sz val="16"/>
      <name val="黑体"/>
      <charset val="134"/>
    </font>
    <font>
      <sz val="10"/>
      <name val="宋体"/>
      <charset val="134"/>
      <scheme val="minor"/>
    </font>
    <font>
      <sz val="14"/>
      <color theme="1"/>
      <name val="宋体"/>
      <charset val="134"/>
    </font>
    <font>
      <sz val="9"/>
      <color theme="1"/>
      <name val="宋体"/>
      <charset val="134"/>
    </font>
    <font>
      <sz val="11"/>
      <color theme="1"/>
      <name val="宋体"/>
      <charset val="0"/>
      <scheme val="minor"/>
    </font>
    <font>
      <b/>
      <sz val="11"/>
      <color rgb="FFFFFFFF"/>
      <name val="宋体"/>
      <charset val="0"/>
      <scheme val="minor"/>
    </font>
    <font>
      <b/>
      <sz val="15"/>
      <color theme="3"/>
      <name val="宋体"/>
      <charset val="134"/>
      <scheme val="minor"/>
    </font>
    <font>
      <b/>
      <sz val="11"/>
      <color indexed="63"/>
      <name val="宋体"/>
      <charset val="134"/>
    </font>
    <font>
      <sz val="11"/>
      <color indexed="17"/>
      <name val="宋体"/>
      <charset val="134"/>
    </font>
    <font>
      <sz val="1"/>
      <color indexed="16"/>
      <name val="Courier"/>
      <charset val="134"/>
    </font>
    <font>
      <b/>
      <sz val="11"/>
      <color theme="3"/>
      <name val="宋体"/>
      <charset val="134"/>
      <scheme val="minor"/>
    </font>
    <font>
      <b/>
      <sz val="18"/>
      <color theme="3"/>
      <name val="宋体"/>
      <charset val="134"/>
      <scheme val="minor"/>
    </font>
    <font>
      <u/>
      <sz val="11"/>
      <color rgb="FF0000FF"/>
      <name val="宋体"/>
      <charset val="0"/>
      <scheme val="minor"/>
    </font>
    <font>
      <b/>
      <sz val="11"/>
      <color indexed="52"/>
      <name val="宋体"/>
      <charset val="134"/>
    </font>
    <font>
      <b/>
      <sz val="11"/>
      <color indexed="8"/>
      <name val="宋体"/>
      <charset val="134"/>
    </font>
    <font>
      <b/>
      <sz val="11"/>
      <color indexed="56"/>
      <name val="宋体"/>
      <charset val="134"/>
    </font>
    <font>
      <sz val="11"/>
      <color indexed="9"/>
      <name val="宋体"/>
      <charset val="134"/>
    </font>
    <font>
      <sz val="11"/>
      <color indexed="8"/>
      <name val="宋体"/>
      <charset val="134"/>
    </font>
    <font>
      <sz val="11"/>
      <color rgb="FF9C0006"/>
      <name val="宋体"/>
      <charset val="0"/>
      <scheme val="minor"/>
    </font>
    <font>
      <sz val="10"/>
      <name val="MS Sans Serif"/>
      <charset val="134"/>
    </font>
    <font>
      <sz val="11"/>
      <color indexed="20"/>
      <name val="宋体"/>
      <charset val="134"/>
    </font>
    <font>
      <sz val="11"/>
      <color rgb="FF006100"/>
      <name val="宋体"/>
      <charset val="134"/>
      <scheme val="minor"/>
    </font>
    <font>
      <sz val="10"/>
      <name val="Arial"/>
      <charset val="134"/>
    </font>
    <font>
      <sz val="10"/>
      <color indexed="20"/>
      <name val="Arial"/>
      <charset val="134"/>
    </font>
    <font>
      <b/>
      <sz val="18"/>
      <color indexed="56"/>
      <name val="宋体"/>
      <charset val="134"/>
    </font>
    <font>
      <sz val="11"/>
      <color theme="0"/>
      <name val="宋体"/>
      <charset val="0"/>
      <scheme val="minor"/>
    </font>
    <font>
      <sz val="11"/>
      <color rgb="FF9C6500"/>
      <name val="宋体"/>
      <charset val="0"/>
      <scheme val="minor"/>
    </font>
    <font>
      <sz val="11"/>
      <color rgb="FF3F3F76"/>
      <name val="宋体"/>
      <charset val="0"/>
      <scheme val="minor"/>
    </font>
    <font>
      <sz val="11"/>
      <color indexed="62"/>
      <name val="宋体"/>
      <charset val="134"/>
    </font>
    <font>
      <u/>
      <sz val="11"/>
      <color rgb="FF800080"/>
      <name val="宋体"/>
      <charset val="0"/>
      <scheme val="minor"/>
    </font>
    <font>
      <b/>
      <sz val="11"/>
      <color rgb="FF3F3F3F"/>
      <name val="宋体"/>
      <charset val="0"/>
      <scheme val="minor"/>
    </font>
    <font>
      <i/>
      <sz val="11"/>
      <color rgb="FF7F7F7F"/>
      <name val="宋体"/>
      <charset val="0"/>
      <scheme val="minor"/>
    </font>
    <font>
      <sz val="12"/>
      <color rgb="FF006100"/>
      <name val="宋体"/>
      <charset val="134"/>
    </font>
    <font>
      <b/>
      <sz val="11"/>
      <color indexed="9"/>
      <name val="宋体"/>
      <charset val="134"/>
    </font>
    <font>
      <b/>
      <sz val="11"/>
      <color theme="1"/>
      <name val="宋体"/>
      <charset val="0"/>
      <scheme val="minor"/>
    </font>
    <font>
      <b/>
      <sz val="13"/>
      <color theme="3"/>
      <name val="宋体"/>
      <charset val="134"/>
      <scheme val="minor"/>
    </font>
    <font>
      <sz val="11"/>
      <color rgb="FFFF0000"/>
      <name val="宋体"/>
      <charset val="0"/>
      <scheme val="minor"/>
    </font>
    <font>
      <b/>
      <sz val="13"/>
      <color indexed="56"/>
      <name val="宋体"/>
      <charset val="134"/>
    </font>
    <font>
      <sz val="10"/>
      <name val="Helv"/>
      <charset val="134"/>
    </font>
    <font>
      <sz val="10"/>
      <name val="Helv"/>
      <charset val="0"/>
    </font>
    <font>
      <sz val="11"/>
      <color indexed="60"/>
      <name val="宋体"/>
      <charset val="134"/>
    </font>
    <font>
      <u/>
      <sz val="9"/>
      <color indexed="12"/>
      <name val="Times New Roman"/>
      <charset val="134"/>
    </font>
    <font>
      <sz val="7"/>
      <name val="Small Fonts"/>
      <charset val="134"/>
    </font>
    <font>
      <i/>
      <sz val="1"/>
      <color indexed="16"/>
      <name val="Courier"/>
      <charset val="134"/>
    </font>
    <font>
      <sz val="11"/>
      <color rgb="FFFA7D00"/>
      <name val="宋体"/>
      <charset val="0"/>
      <scheme val="minor"/>
    </font>
    <font>
      <b/>
      <sz val="11"/>
      <color rgb="FFFA7D00"/>
      <name val="宋体"/>
      <charset val="0"/>
      <scheme val="minor"/>
    </font>
    <font>
      <i/>
      <sz val="11"/>
      <color indexed="23"/>
      <name val="宋体"/>
      <charset val="134"/>
    </font>
    <font>
      <u/>
      <sz val="9"/>
      <color indexed="36"/>
      <name val="Times New Roman"/>
      <charset val="134"/>
    </font>
    <font>
      <sz val="11"/>
      <color rgb="FF9C0006"/>
      <name val="宋体"/>
      <charset val="134"/>
      <scheme val="minor"/>
    </font>
    <font>
      <b/>
      <sz val="11"/>
      <name val="宋体"/>
      <charset val="134"/>
    </font>
    <font>
      <sz val="11"/>
      <color indexed="10"/>
      <name val="宋体"/>
      <charset val="134"/>
    </font>
    <font>
      <b/>
      <sz val="15"/>
      <color indexed="56"/>
      <name val="宋体"/>
      <charset val="134"/>
    </font>
    <font>
      <sz val="11"/>
      <color indexed="52"/>
      <name val="宋体"/>
      <charset val="134"/>
    </font>
    <font>
      <sz val="10"/>
      <color indexed="17"/>
      <name val="Arial"/>
      <charset val="134"/>
    </font>
    <font>
      <b/>
      <sz val="9"/>
      <name val="宋体"/>
      <charset val="134"/>
    </font>
    <font>
      <sz val="9"/>
      <name val="宋体"/>
      <charset val="134"/>
    </font>
  </fonts>
  <fills count="59">
    <fill>
      <patternFill patternType="none"/>
    </fill>
    <fill>
      <patternFill patternType="gray125"/>
    </fill>
    <fill>
      <patternFill patternType="solid">
        <fgColor theme="8" tint="0.599993896298105"/>
        <bgColor indexed="64"/>
      </patternFill>
    </fill>
    <fill>
      <patternFill patternType="solid">
        <fgColor rgb="FF00B050"/>
        <bgColor indexed="64"/>
      </patternFill>
    </fill>
    <fill>
      <patternFill patternType="solid">
        <fgColor rgb="FFFFFF00"/>
        <bgColor indexed="64"/>
      </patternFill>
    </fill>
    <fill>
      <patternFill patternType="solid">
        <fgColor indexed="9"/>
        <bgColor indexed="9"/>
      </patternFill>
    </fill>
    <fill>
      <patternFill patternType="solid">
        <fgColor indexed="9"/>
        <bgColor indexed="64"/>
      </patternFill>
    </fill>
    <fill>
      <patternFill patternType="solid">
        <fgColor rgb="FFA5A5A5"/>
        <bgColor indexed="64"/>
      </patternFill>
    </fill>
    <fill>
      <patternFill patternType="solid">
        <fgColor theme="5" tint="0.599993896298105"/>
        <bgColor indexed="64"/>
      </patternFill>
    </fill>
    <fill>
      <patternFill patternType="solid">
        <fgColor indexed="26"/>
        <bgColor indexed="64"/>
      </patternFill>
    </fill>
    <fill>
      <patternFill patternType="solid">
        <fgColor indexed="22"/>
        <bgColor indexed="64"/>
      </patternFill>
    </fill>
    <fill>
      <patternFill patternType="solid">
        <fgColor indexed="27"/>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indexed="36"/>
        <bgColor indexed="64"/>
      </patternFill>
    </fill>
    <fill>
      <patternFill patternType="solid">
        <fgColor indexed="4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6"/>
        <bgColor indexed="64"/>
      </patternFill>
    </fill>
    <fill>
      <patternFill patternType="solid">
        <fgColor indexed="30"/>
        <bgColor indexed="64"/>
      </patternFill>
    </fill>
    <fill>
      <patternFill patternType="solid">
        <fgColor rgb="FFC6EFCE"/>
        <bgColor indexed="64"/>
      </patternFill>
    </fill>
    <fill>
      <patternFill patternType="solid">
        <fgColor indexed="45"/>
        <bgColor indexed="64"/>
      </patternFill>
    </fill>
    <fill>
      <patternFill patternType="solid">
        <fgColor indexed="49"/>
        <bgColor indexed="64"/>
      </patternFill>
    </fill>
    <fill>
      <patternFill patternType="solid">
        <fgColor indexed="29"/>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indexed="47"/>
        <bgColor indexed="64"/>
      </patternFill>
    </fill>
    <fill>
      <patternFill patternType="solid">
        <fgColor indexed="52"/>
        <bgColor indexed="64"/>
      </patternFill>
    </fill>
    <fill>
      <patternFill patternType="solid">
        <fgColor theme="7"/>
        <bgColor indexed="64"/>
      </patternFill>
    </fill>
    <fill>
      <patternFill patternType="solid">
        <fgColor theme="4"/>
        <bgColor indexed="64"/>
      </patternFill>
    </fill>
    <fill>
      <patternFill patternType="solid">
        <fgColor theme="8"/>
        <bgColor indexed="64"/>
      </patternFill>
    </fill>
    <fill>
      <patternFill patternType="solid">
        <fgColor rgb="FFF2F2F2"/>
        <bgColor indexed="64"/>
      </patternFill>
    </fill>
    <fill>
      <patternFill patternType="solid">
        <fgColor theme="5"/>
        <bgColor indexed="64"/>
      </patternFill>
    </fill>
    <fill>
      <patternFill patternType="solid">
        <fgColor indexed="62"/>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indexed="11"/>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indexed="55"/>
        <bgColor indexed="64"/>
      </patternFill>
    </fill>
    <fill>
      <patternFill patternType="solid">
        <fgColor indexed="42"/>
        <bgColor indexed="64"/>
      </patternFill>
    </fill>
    <fill>
      <patternFill patternType="solid">
        <fgColor theme="9"/>
        <bgColor indexed="64"/>
      </patternFill>
    </fill>
    <fill>
      <patternFill patternType="solid">
        <fgColor theme="6"/>
        <bgColor indexed="64"/>
      </patternFill>
    </fill>
    <fill>
      <patternFill patternType="solid">
        <fgColor indexed="43"/>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indexed="31"/>
        <bgColor indexed="64"/>
      </patternFill>
    </fill>
    <fill>
      <patternFill patternType="solid">
        <fgColor indexed="51"/>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40">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style="thin">
        <color theme="4"/>
      </top>
      <bottom style="double">
        <color theme="4"/>
      </bottom>
      <diagonal/>
    </border>
    <border>
      <left/>
      <right/>
      <top/>
      <bottom style="thick">
        <color indexed="22"/>
      </bottom>
      <diagonal/>
    </border>
    <border>
      <left/>
      <right/>
      <top/>
      <bottom style="double">
        <color rgb="FFFF8001"/>
      </bottom>
      <diagonal/>
    </border>
    <border>
      <left/>
      <right/>
      <top/>
      <bottom style="thick">
        <color indexed="62"/>
      </bottom>
      <diagonal/>
    </border>
    <border>
      <left/>
      <right/>
      <top/>
      <bottom style="double">
        <color indexed="52"/>
      </bottom>
      <diagonal/>
    </border>
  </borders>
  <cellStyleXfs count="360">
    <xf numFmtId="0" fontId="0" fillId="0" borderId="0">
      <alignment vertical="center"/>
    </xf>
    <xf numFmtId="42" fontId="0" fillId="0" borderId="0" applyFont="0" applyFill="0" applyBorder="0" applyAlignment="0" applyProtection="0">
      <alignment vertical="center"/>
    </xf>
    <xf numFmtId="0" fontId="32" fillId="43" borderId="0" applyNumberFormat="0" applyBorder="0" applyAlignment="0" applyProtection="0">
      <alignment vertical="center"/>
    </xf>
    <xf numFmtId="0" fontId="20" fillId="0" borderId="0"/>
    <xf numFmtId="0" fontId="55" fillId="29" borderId="30" applyNumberFormat="0" applyAlignment="0" applyProtection="0">
      <alignment vertical="center"/>
    </xf>
    <xf numFmtId="44" fontId="0" fillId="0" borderId="0" applyFont="0" applyFill="0" applyBorder="0" applyAlignment="0" applyProtection="0">
      <alignment vertical="center"/>
    </xf>
    <xf numFmtId="0" fontId="20" fillId="0" borderId="0"/>
    <xf numFmtId="0" fontId="20" fillId="0" borderId="0"/>
    <xf numFmtId="41" fontId="0" fillId="0" borderId="0" applyFont="0" applyFill="0" applyBorder="0" applyAlignment="0" applyProtection="0">
      <alignment vertical="center"/>
    </xf>
    <xf numFmtId="0" fontId="66" fillId="0" borderId="0"/>
    <xf numFmtId="0" fontId="32" fillId="18" borderId="0" applyNumberFormat="0" applyBorder="0" applyAlignment="0" applyProtection="0">
      <alignment vertical="center"/>
    </xf>
    <xf numFmtId="0" fontId="41" fillId="10" borderId="28" applyNumberFormat="0" applyAlignment="0" applyProtection="0">
      <alignment vertical="center"/>
    </xf>
    <xf numFmtId="38" fontId="47" fillId="0" borderId="0" applyFont="0" applyFill="0" applyBorder="0" applyAlignment="0" applyProtection="0"/>
    <xf numFmtId="0" fontId="66" fillId="0" borderId="0"/>
    <xf numFmtId="0" fontId="46" fillId="19" borderId="0" applyNumberFormat="0" applyBorder="0" applyAlignment="0" applyProtection="0">
      <alignment vertical="center"/>
    </xf>
    <xf numFmtId="43" fontId="0" fillId="0" borderId="0" applyFont="0" applyFill="0" applyBorder="0" applyAlignment="0" applyProtection="0">
      <alignment vertical="center"/>
    </xf>
    <xf numFmtId="0" fontId="53" fillId="27" borderId="0" applyNumberFormat="0" applyBorder="0" applyAlignment="0" applyProtection="0">
      <alignment vertical="center"/>
    </xf>
    <xf numFmtId="176" fontId="47" fillId="0" borderId="0" applyFont="0" applyFill="0" applyBorder="0" applyAlignment="0" applyProtection="0"/>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66" fillId="0" borderId="0"/>
    <xf numFmtId="0" fontId="57" fillId="0" borderId="0" applyNumberFormat="0" applyFill="0" applyBorder="0" applyAlignment="0" applyProtection="0">
      <alignment vertical="center"/>
    </xf>
    <xf numFmtId="0" fontId="0" fillId="12" borderId="27" applyNumberFormat="0" applyFont="0" applyAlignment="0" applyProtection="0">
      <alignment vertical="center"/>
    </xf>
    <xf numFmtId="0" fontId="1" fillId="0" borderId="0"/>
    <xf numFmtId="0" fontId="53" fillId="51" borderId="0" applyNumberFormat="0" applyBorder="0" applyAlignment="0" applyProtection="0">
      <alignment vertical="center"/>
    </xf>
    <xf numFmtId="0" fontId="41" fillId="10" borderId="28" applyNumberFormat="0" applyAlignment="0" applyProtection="0">
      <alignment vertical="center"/>
    </xf>
    <xf numFmtId="0" fontId="38"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 fillId="0" borderId="0"/>
    <xf numFmtId="0" fontId="66" fillId="0" borderId="0"/>
    <xf numFmtId="0" fontId="41" fillId="10" borderId="28" applyNumberFormat="0" applyAlignment="0" applyProtection="0">
      <alignment vertical="center"/>
    </xf>
    <xf numFmtId="0" fontId="20" fillId="0" borderId="0"/>
    <xf numFmtId="43" fontId="45" fillId="0" borderId="0" applyFont="0" applyFill="0" applyBorder="0" applyAlignment="0" applyProtection="0">
      <alignment vertical="center"/>
    </xf>
    <xf numFmtId="0" fontId="59" fillId="0" borderId="0" applyNumberFormat="0" applyFill="0" applyBorder="0" applyAlignment="0" applyProtection="0">
      <alignment vertical="center"/>
    </xf>
    <xf numFmtId="9" fontId="1" fillId="0" borderId="0" applyFont="0" applyFill="0" applyBorder="0" applyAlignment="0" applyProtection="0"/>
    <xf numFmtId="0" fontId="34" fillId="0" borderId="24" applyNumberFormat="0" applyFill="0" applyAlignment="0" applyProtection="0">
      <alignment vertical="center"/>
    </xf>
    <xf numFmtId="0" fontId="20" fillId="0" borderId="0"/>
    <xf numFmtId="9" fontId="45" fillId="0" borderId="0" applyFont="0" applyFill="0" applyBorder="0" applyAlignment="0" applyProtection="0">
      <alignment vertical="center"/>
    </xf>
    <xf numFmtId="0" fontId="63" fillId="0" borderId="24" applyNumberFormat="0" applyFill="0" applyAlignment="0" applyProtection="0">
      <alignment vertical="center"/>
    </xf>
    <xf numFmtId="0" fontId="48" fillId="20" borderId="0" applyNumberFormat="0" applyBorder="0" applyAlignment="0" applyProtection="0">
      <alignment vertical="center"/>
    </xf>
    <xf numFmtId="0" fontId="41" fillId="10" borderId="28" applyNumberFormat="0" applyAlignment="0" applyProtection="0">
      <alignment vertical="center"/>
    </xf>
    <xf numFmtId="0" fontId="53" fillId="30" borderId="0" applyNumberFormat="0" applyBorder="0" applyAlignment="0" applyProtection="0">
      <alignment vertical="center"/>
    </xf>
    <xf numFmtId="0" fontId="38" fillId="0" borderId="32" applyNumberFormat="0" applyFill="0" applyAlignment="0" applyProtection="0">
      <alignment vertical="center"/>
    </xf>
    <xf numFmtId="0" fontId="48" fillId="20" borderId="0" applyNumberFormat="0" applyBorder="0" applyAlignment="0" applyProtection="0">
      <alignment vertical="center"/>
    </xf>
    <xf numFmtId="0" fontId="53" fillId="31" borderId="0" applyNumberFormat="0" applyBorder="0" applyAlignment="0" applyProtection="0">
      <alignment vertical="center"/>
    </xf>
    <xf numFmtId="0" fontId="58" fillId="37" borderId="31" applyNumberFormat="0" applyAlignment="0" applyProtection="0">
      <alignment vertical="center"/>
    </xf>
    <xf numFmtId="0" fontId="73" fillId="37" borderId="30" applyNumberFormat="0" applyAlignment="0" applyProtection="0">
      <alignment vertical="center"/>
    </xf>
    <xf numFmtId="0" fontId="45" fillId="20" borderId="0" applyNumberFormat="0" applyBorder="0" applyAlignment="0" applyProtection="0">
      <alignment vertical="center"/>
    </xf>
    <xf numFmtId="0" fontId="33" fillId="7" borderId="23" applyNumberFormat="0" applyAlignment="0" applyProtection="0">
      <alignment vertical="center"/>
    </xf>
    <xf numFmtId="0" fontId="32" fillId="44" borderId="0" applyNumberFormat="0" applyBorder="0" applyAlignment="0" applyProtection="0">
      <alignment vertical="center"/>
    </xf>
    <xf numFmtId="0" fontId="53" fillId="38" borderId="0" applyNumberFormat="0" applyBorder="0" applyAlignment="0" applyProtection="0">
      <alignment vertical="center"/>
    </xf>
    <xf numFmtId="0" fontId="1" fillId="9" borderId="25" applyNumberFormat="0" applyFont="0" applyAlignment="0" applyProtection="0">
      <alignment vertical="center"/>
    </xf>
    <xf numFmtId="0" fontId="72" fillId="0" borderId="37" applyNumberFormat="0" applyFill="0" applyAlignment="0" applyProtection="0">
      <alignment vertical="center"/>
    </xf>
    <xf numFmtId="0" fontId="62" fillId="0" borderId="35" applyNumberFormat="0" applyFill="0" applyAlignment="0" applyProtection="0">
      <alignment vertical="center"/>
    </xf>
    <xf numFmtId="0" fontId="60" fillId="22" borderId="0" applyNumberFormat="0" applyBorder="0" applyAlignment="0" applyProtection="0">
      <alignment vertical="center"/>
    </xf>
    <xf numFmtId="0" fontId="54" fillId="28" borderId="0" applyNumberFormat="0" applyBorder="0" applyAlignment="0" applyProtection="0">
      <alignment vertical="center"/>
    </xf>
    <xf numFmtId="0" fontId="1" fillId="0" borderId="0"/>
    <xf numFmtId="0" fontId="32" fillId="52" borderId="0" applyNumberFormat="0" applyBorder="0" applyAlignment="0" applyProtection="0">
      <alignment vertical="center"/>
    </xf>
    <xf numFmtId="0" fontId="53" fillId="35" borderId="0" applyNumberFormat="0" applyBorder="0" applyAlignment="0" applyProtection="0">
      <alignment vertical="center"/>
    </xf>
    <xf numFmtId="0" fontId="32" fillId="41" borderId="0" applyNumberFormat="0" applyBorder="0" applyAlignment="0" applyProtection="0">
      <alignment vertical="center"/>
    </xf>
    <xf numFmtId="0" fontId="32" fillId="14" borderId="0" applyNumberFormat="0" applyBorder="0" applyAlignment="0" applyProtection="0">
      <alignment vertical="center"/>
    </xf>
    <xf numFmtId="0" fontId="35" fillId="10" borderId="26" applyNumberFormat="0" applyAlignment="0" applyProtection="0">
      <alignment vertical="center"/>
    </xf>
    <xf numFmtId="0" fontId="32" fillId="53" borderId="0" applyNumberFormat="0" applyBorder="0" applyAlignment="0" applyProtection="0">
      <alignment vertical="center"/>
    </xf>
    <xf numFmtId="0" fontId="32" fillId="8" borderId="0" applyNumberFormat="0" applyBorder="0" applyAlignment="0" applyProtection="0">
      <alignment vertical="center"/>
    </xf>
    <xf numFmtId="0" fontId="53" fillId="48" borderId="0" applyNumberFormat="0" applyBorder="0" applyAlignment="0" applyProtection="0">
      <alignment vertical="center"/>
    </xf>
    <xf numFmtId="0" fontId="53" fillId="34" borderId="0" applyNumberFormat="0" applyBorder="0" applyAlignment="0" applyProtection="0">
      <alignment vertical="center"/>
    </xf>
    <xf numFmtId="0" fontId="66" fillId="0" borderId="0"/>
    <xf numFmtId="0" fontId="32" fillId="40" borderId="0" applyNumberFormat="0" applyBorder="0" applyAlignment="0" applyProtection="0">
      <alignment vertical="center"/>
    </xf>
    <xf numFmtId="0" fontId="32" fillId="13" borderId="0" applyNumberFormat="0" applyBorder="0" applyAlignment="0" applyProtection="0">
      <alignment vertical="center"/>
    </xf>
    <xf numFmtId="0" fontId="53" fillId="36" borderId="0" applyNumberFormat="0" applyBorder="0" applyAlignment="0" applyProtection="0">
      <alignment vertical="center"/>
    </xf>
    <xf numFmtId="177" fontId="37" fillId="0" borderId="0">
      <protection locked="0"/>
    </xf>
    <xf numFmtId="0" fontId="32" fillId="2" borderId="0" applyNumberFormat="0" applyBorder="0" applyAlignment="0" applyProtection="0">
      <alignment vertical="center"/>
    </xf>
    <xf numFmtId="0" fontId="53" fillId="50" borderId="0" applyNumberFormat="0" applyBorder="0" applyAlignment="0" applyProtection="0">
      <alignment vertical="center"/>
    </xf>
    <xf numFmtId="0" fontId="53" fillId="47" borderId="0" applyNumberFormat="0" applyBorder="0" applyAlignment="0" applyProtection="0">
      <alignment vertical="center"/>
    </xf>
    <xf numFmtId="0" fontId="20" fillId="0" borderId="0"/>
    <xf numFmtId="177" fontId="37" fillId="0" borderId="0">
      <protection locked="0"/>
    </xf>
    <xf numFmtId="0" fontId="68" fillId="49" borderId="0" applyNumberFormat="0" applyBorder="0" applyAlignment="0" applyProtection="0">
      <alignment vertical="center"/>
    </xf>
    <xf numFmtId="0" fontId="32" fillId="17" borderId="0" applyNumberFormat="0" applyBorder="0" applyAlignment="0" applyProtection="0">
      <alignment vertical="center"/>
    </xf>
    <xf numFmtId="0" fontId="53" fillId="26" borderId="0" applyNumberFormat="0" applyBorder="0" applyAlignment="0" applyProtection="0">
      <alignment vertical="center"/>
    </xf>
    <xf numFmtId="0" fontId="66" fillId="0" borderId="0"/>
    <xf numFmtId="0" fontId="66" fillId="0" borderId="0"/>
    <xf numFmtId="0" fontId="66" fillId="0" borderId="0"/>
    <xf numFmtId="0" fontId="66" fillId="0" borderId="0"/>
    <xf numFmtId="0" fontId="35" fillId="10" borderId="26" applyNumberFormat="0" applyAlignment="0" applyProtection="0">
      <alignment vertical="center"/>
    </xf>
    <xf numFmtId="0" fontId="20" fillId="0" borderId="0"/>
    <xf numFmtId="0" fontId="36" fillId="11" borderId="0" applyNumberFormat="0" applyBorder="0" applyAlignment="0" applyProtection="0">
      <alignment vertical="center"/>
    </xf>
    <xf numFmtId="0" fontId="66" fillId="0" borderId="0"/>
    <xf numFmtId="0" fontId="1" fillId="9" borderId="25" applyNumberFormat="0" applyFont="0" applyAlignment="0" applyProtection="0">
      <alignment vertical="center"/>
    </xf>
    <xf numFmtId="0" fontId="66" fillId="0" borderId="0"/>
    <xf numFmtId="9" fontId="1" fillId="0" borderId="0" applyFont="0" applyFill="0" applyBorder="0" applyAlignment="0" applyProtection="0"/>
    <xf numFmtId="0" fontId="66" fillId="0" borderId="0"/>
    <xf numFmtId="0" fontId="66" fillId="0" borderId="0"/>
    <xf numFmtId="0" fontId="66" fillId="0" borderId="0"/>
    <xf numFmtId="0" fontId="20" fillId="0" borderId="0"/>
    <xf numFmtId="0" fontId="66" fillId="0" borderId="0"/>
    <xf numFmtId="0" fontId="48" fillId="20" borderId="0" applyNumberFormat="0" applyBorder="0" applyAlignment="0" applyProtection="0">
      <alignment vertical="center"/>
    </xf>
    <xf numFmtId="0" fontId="1" fillId="0" borderId="0">
      <alignment vertical="center"/>
    </xf>
    <xf numFmtId="0" fontId="66" fillId="0" borderId="0"/>
    <xf numFmtId="0" fontId="66" fillId="0" borderId="0"/>
    <xf numFmtId="0" fontId="41" fillId="10" borderId="28" applyNumberFormat="0" applyAlignment="0" applyProtection="0">
      <alignment vertical="center"/>
    </xf>
    <xf numFmtId="0" fontId="35" fillId="10" borderId="26" applyNumberFormat="0" applyAlignment="0" applyProtection="0">
      <alignment vertical="center"/>
    </xf>
    <xf numFmtId="0" fontId="66" fillId="0" borderId="0"/>
    <xf numFmtId="0" fontId="42" fillId="0" borderId="29" applyNumberFormat="0" applyFill="0" applyAlignment="0" applyProtection="0">
      <alignment vertical="center"/>
    </xf>
    <xf numFmtId="0" fontId="20" fillId="0" borderId="0"/>
    <xf numFmtId="0" fontId="20" fillId="0" borderId="0"/>
    <xf numFmtId="0" fontId="66" fillId="0" borderId="0"/>
    <xf numFmtId="0" fontId="66" fillId="0" borderId="0"/>
    <xf numFmtId="0" fontId="1" fillId="0" borderId="0">
      <alignment vertical="center"/>
    </xf>
    <xf numFmtId="0" fontId="20" fillId="0" borderId="0"/>
    <xf numFmtId="0" fontId="66" fillId="0" borderId="0"/>
    <xf numFmtId="0" fontId="56" fillId="32" borderId="28" applyNumberFormat="0" applyAlignment="0" applyProtection="0">
      <alignment vertical="center"/>
    </xf>
    <xf numFmtId="0" fontId="67" fillId="0" borderId="0"/>
    <xf numFmtId="0" fontId="66" fillId="0" borderId="0"/>
    <xf numFmtId="0" fontId="66" fillId="0" borderId="0"/>
    <xf numFmtId="0" fontId="20" fillId="0" borderId="0"/>
    <xf numFmtId="0" fontId="20" fillId="0" borderId="0"/>
    <xf numFmtId="0" fontId="36" fillId="11" borderId="0" applyNumberFormat="0" applyBorder="0" applyAlignment="0" applyProtection="0">
      <alignment vertical="center"/>
    </xf>
    <xf numFmtId="0" fontId="20" fillId="0" borderId="0"/>
    <xf numFmtId="0" fontId="1" fillId="0" borderId="0"/>
    <xf numFmtId="0" fontId="20" fillId="0" borderId="0"/>
    <xf numFmtId="0" fontId="20" fillId="0" borderId="0"/>
    <xf numFmtId="0" fontId="0" fillId="0" borderId="0">
      <alignment vertical="center"/>
    </xf>
    <xf numFmtId="0" fontId="66" fillId="0" borderId="0"/>
    <xf numFmtId="0" fontId="66" fillId="0" borderId="0"/>
    <xf numFmtId="0" fontId="66" fillId="0" borderId="0"/>
    <xf numFmtId="0" fontId="66" fillId="0" borderId="0"/>
    <xf numFmtId="0" fontId="36" fillId="11" borderId="0" applyNumberFormat="0" applyBorder="0" applyAlignment="0" applyProtection="0">
      <alignment vertical="center"/>
    </xf>
    <xf numFmtId="0" fontId="66" fillId="0" borderId="0"/>
    <xf numFmtId="0" fontId="0" fillId="0" borderId="0">
      <alignment vertical="center"/>
    </xf>
    <xf numFmtId="0" fontId="66" fillId="0" borderId="0"/>
    <xf numFmtId="0" fontId="1" fillId="0" borderId="0"/>
    <xf numFmtId="0" fontId="65" fillId="0" borderId="36" applyNumberFormat="0" applyFill="0" applyAlignment="0" applyProtection="0">
      <alignment vertical="center"/>
    </xf>
    <xf numFmtId="0" fontId="1" fillId="0" borderId="0"/>
    <xf numFmtId="0" fontId="1" fillId="0" borderId="0"/>
    <xf numFmtId="0" fontId="1" fillId="0" borderId="0"/>
    <xf numFmtId="0" fontId="0" fillId="0" borderId="0">
      <alignment vertical="center"/>
    </xf>
    <xf numFmtId="0" fontId="1" fillId="0" borderId="0"/>
    <xf numFmtId="0" fontId="20" fillId="0" borderId="0"/>
    <xf numFmtId="0" fontId="42" fillId="0" borderId="29" applyNumberFormat="0" applyFill="0" applyAlignment="0" applyProtection="0">
      <alignment vertical="center"/>
    </xf>
    <xf numFmtId="0" fontId="45" fillId="54" borderId="0" applyNumberFormat="0" applyBorder="0" applyAlignment="0" applyProtection="0">
      <alignment vertical="center"/>
    </xf>
    <xf numFmtId="0" fontId="45" fillId="23" borderId="0" applyNumberFormat="0" applyBorder="0" applyAlignment="0" applyProtection="0">
      <alignment vertical="center"/>
    </xf>
    <xf numFmtId="0" fontId="35" fillId="10" borderId="26" applyNumberFormat="0" applyAlignment="0" applyProtection="0">
      <alignment vertical="center"/>
    </xf>
    <xf numFmtId="0" fontId="45" fillId="46" borderId="0" applyNumberFormat="0" applyBorder="0" applyAlignment="0" applyProtection="0">
      <alignment vertical="center"/>
    </xf>
    <xf numFmtId="177" fontId="37" fillId="0" borderId="0">
      <protection locked="0"/>
    </xf>
    <xf numFmtId="0" fontId="45" fillId="20" borderId="0" applyNumberFormat="0" applyBorder="0" applyAlignment="0" applyProtection="0">
      <alignment vertical="center"/>
    </xf>
    <xf numFmtId="0" fontId="1" fillId="0" borderId="0"/>
    <xf numFmtId="0" fontId="45" fillId="11" borderId="0" applyNumberFormat="0" applyBorder="0" applyAlignment="0" applyProtection="0">
      <alignment vertical="center"/>
    </xf>
    <xf numFmtId="0" fontId="45" fillId="32" borderId="0" applyNumberFormat="0" applyBorder="0" applyAlignment="0" applyProtection="0">
      <alignment vertical="center"/>
    </xf>
    <xf numFmtId="0" fontId="45" fillId="16" borderId="0" applyNumberFormat="0" applyBorder="0" applyAlignment="0" applyProtection="0">
      <alignment vertical="center"/>
    </xf>
    <xf numFmtId="0" fontId="45" fillId="25" borderId="0" applyNumberFormat="0" applyBorder="0" applyAlignment="0" applyProtection="0">
      <alignment vertical="center"/>
    </xf>
    <xf numFmtId="0" fontId="45" fillId="42" borderId="0" applyNumberFormat="0" applyBorder="0" applyAlignment="0" applyProtection="0">
      <alignment vertical="center"/>
    </xf>
    <xf numFmtId="0" fontId="41" fillId="10" borderId="28" applyNumberFormat="0" applyAlignment="0" applyProtection="0">
      <alignment vertical="center"/>
    </xf>
    <xf numFmtId="0" fontId="45" fillId="16" borderId="0" applyNumberFormat="0" applyBorder="0" applyAlignment="0" applyProtection="0">
      <alignment vertical="center"/>
    </xf>
    <xf numFmtId="177" fontId="37" fillId="0" borderId="0">
      <protection locked="0"/>
    </xf>
    <xf numFmtId="0" fontId="45" fillId="55" borderId="0" applyNumberFormat="0" applyBorder="0" applyAlignment="0" applyProtection="0">
      <alignment vertical="center"/>
    </xf>
    <xf numFmtId="177" fontId="37" fillId="0" borderId="0">
      <protection locked="0"/>
    </xf>
    <xf numFmtId="0" fontId="44" fillId="21" borderId="0" applyNumberFormat="0" applyBorder="0" applyAlignment="0" applyProtection="0">
      <alignment vertical="center"/>
    </xf>
    <xf numFmtId="0" fontId="44" fillId="25" borderId="0" applyNumberFormat="0" applyBorder="0" applyAlignment="0" applyProtection="0">
      <alignment vertical="center"/>
    </xf>
    <xf numFmtId="0" fontId="1" fillId="0" borderId="0"/>
    <xf numFmtId="0" fontId="44" fillId="42" borderId="0" applyNumberFormat="0" applyBorder="0" applyAlignment="0" applyProtection="0">
      <alignment vertical="center"/>
    </xf>
    <xf numFmtId="0" fontId="44" fillId="15" borderId="0" applyNumberFormat="0" applyBorder="0" applyAlignment="0" applyProtection="0">
      <alignment vertical="center"/>
    </xf>
    <xf numFmtId="0" fontId="44" fillId="24" borderId="0" applyNumberFormat="0" applyBorder="0" applyAlignment="0" applyProtection="0">
      <alignment vertical="center"/>
    </xf>
    <xf numFmtId="0" fontId="44" fillId="33" borderId="0" applyNumberFormat="0" applyBorder="0" applyAlignment="0" applyProtection="0">
      <alignment vertical="center"/>
    </xf>
    <xf numFmtId="0" fontId="77" fillId="0" borderId="0" applyNumberFormat="0" applyFill="0" applyBorder="0" applyAlignment="0" applyProtection="0"/>
    <xf numFmtId="40" fontId="47" fillId="0" borderId="0" applyFont="0" applyFill="0" applyBorder="0" applyAlignment="0" applyProtection="0"/>
    <xf numFmtId="0" fontId="20" fillId="0" borderId="0"/>
    <xf numFmtId="183" fontId="47" fillId="0" borderId="0" applyFont="0" applyFill="0" applyBorder="0" applyAlignment="0" applyProtection="0"/>
    <xf numFmtId="177" fontId="71" fillId="0" borderId="0">
      <protection locked="0"/>
    </xf>
    <xf numFmtId="177" fontId="71" fillId="0" borderId="0">
      <protection locked="0"/>
    </xf>
    <xf numFmtId="0" fontId="0" fillId="0" borderId="0">
      <alignment vertical="center"/>
    </xf>
    <xf numFmtId="177" fontId="37" fillId="0" borderId="0">
      <protection locked="0"/>
    </xf>
    <xf numFmtId="177" fontId="37" fillId="0" borderId="0">
      <protection locked="0"/>
    </xf>
    <xf numFmtId="0" fontId="1" fillId="9" borderId="25" applyNumberFormat="0" applyFont="0" applyAlignment="0" applyProtection="0">
      <alignment vertical="center"/>
    </xf>
    <xf numFmtId="177" fontId="37" fillId="0" borderId="0">
      <protection locked="0"/>
    </xf>
    <xf numFmtId="177" fontId="37" fillId="0" borderId="0">
      <protection locked="0"/>
    </xf>
    <xf numFmtId="0" fontId="56" fillId="32" borderId="28" applyNumberFormat="0" applyAlignment="0" applyProtection="0">
      <alignment vertical="center"/>
    </xf>
    <xf numFmtId="177" fontId="37" fillId="0" borderId="0">
      <protection locked="0"/>
    </xf>
    <xf numFmtId="177" fontId="37" fillId="0" borderId="0">
      <protection locked="0"/>
    </xf>
    <xf numFmtId="177" fontId="37" fillId="0" borderId="0">
      <protection locked="0"/>
    </xf>
    <xf numFmtId="0" fontId="42" fillId="0" borderId="29" applyNumberFormat="0" applyFill="0" applyAlignment="0" applyProtection="0">
      <alignment vertical="center"/>
    </xf>
    <xf numFmtId="37" fontId="70" fillId="0" borderId="0"/>
    <xf numFmtId="0" fontId="48" fillId="20" borderId="0" applyNumberFormat="0" applyBorder="0" applyAlignment="0" applyProtection="0">
      <alignment vertical="center"/>
    </xf>
    <xf numFmtId="0" fontId="17" fillId="0" borderId="0"/>
    <xf numFmtId="0" fontId="50" fillId="0" borderId="0"/>
    <xf numFmtId="0" fontId="20" fillId="0" borderId="0"/>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xf numFmtId="0" fontId="48" fillId="20"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xf numFmtId="0" fontId="79" fillId="0" borderId="38" applyNumberFormat="0" applyFill="0" applyAlignment="0" applyProtection="0">
      <alignment vertical="center"/>
    </xf>
    <xf numFmtId="0" fontId="43" fillId="0" borderId="34" applyNumberFormat="0" applyFill="0" applyAlignment="0" applyProtection="0">
      <alignment vertical="center"/>
    </xf>
    <xf numFmtId="0" fontId="1" fillId="0" borderId="0"/>
    <xf numFmtId="0" fontId="1" fillId="0" borderId="0"/>
    <xf numFmtId="0" fontId="43" fillId="0" borderId="0" applyNumberFormat="0" applyFill="0" applyBorder="0" applyAlignment="0" applyProtection="0">
      <alignment vertical="center"/>
    </xf>
    <xf numFmtId="43" fontId="45" fillId="0" borderId="0" applyFont="0" applyFill="0" applyBorder="0" applyAlignment="0" applyProtection="0">
      <alignment vertical="center"/>
    </xf>
    <xf numFmtId="0" fontId="52" fillId="0" borderId="0" applyNumberFormat="0" applyFill="0" applyBorder="0" applyAlignment="0" applyProtection="0">
      <alignment vertical="center"/>
    </xf>
    <xf numFmtId="0" fontId="48" fillId="23" borderId="0" applyNumberFormat="0" applyBorder="0" applyAlignment="0" applyProtection="0">
      <alignment vertical="center"/>
    </xf>
    <xf numFmtId="0" fontId="76" fillId="19" borderId="0" applyNumberFormat="0" applyBorder="0" applyAlignment="0" applyProtection="0">
      <alignment vertical="center"/>
    </xf>
    <xf numFmtId="0" fontId="48" fillId="20" borderId="0" applyNumberFormat="0" applyBorder="0" applyAlignment="0" applyProtection="0">
      <alignment vertical="center"/>
    </xf>
    <xf numFmtId="0" fontId="35" fillId="10" borderId="26" applyNumberFormat="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42" fillId="0" borderId="29" applyNumberFormat="0" applyFill="0" applyAlignment="0" applyProtection="0">
      <alignment vertical="center"/>
    </xf>
    <xf numFmtId="0" fontId="48" fillId="20" borderId="0" applyNumberFormat="0" applyBorder="0" applyAlignment="0" applyProtection="0">
      <alignment vertical="center"/>
    </xf>
    <xf numFmtId="0" fontId="48" fillId="20" borderId="0" applyNumberFormat="0" applyBorder="0" applyAlignment="0" applyProtection="0">
      <alignment vertical="center"/>
    </xf>
    <xf numFmtId="0" fontId="51" fillId="23" borderId="0" applyNumberFormat="0" applyBorder="0" applyAlignment="0" applyProtection="0">
      <alignment vertical="center"/>
    </xf>
    <xf numFmtId="0" fontId="1" fillId="0" borderId="0"/>
    <xf numFmtId="0" fontId="42" fillId="0" borderId="29" applyNumberFormat="0" applyFill="0" applyAlignment="0" applyProtection="0">
      <alignment vertical="center"/>
    </xf>
    <xf numFmtId="0" fontId="1" fillId="0" borderId="0"/>
    <xf numFmtId="0" fontId="0" fillId="0" borderId="0">
      <alignment vertical="center"/>
    </xf>
    <xf numFmtId="0" fontId="1" fillId="0" borderId="0"/>
    <xf numFmtId="0" fontId="1" fillId="0" borderId="0"/>
    <xf numFmtId="0" fontId="1"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50" fillId="0" borderId="0"/>
    <xf numFmtId="0" fontId="0" fillId="0" borderId="0">
      <alignment vertical="center"/>
    </xf>
    <xf numFmtId="0" fontId="0" fillId="0" borderId="0">
      <alignment vertical="center"/>
    </xf>
    <xf numFmtId="0" fontId="75" fillId="0" borderId="0" applyNumberFormat="0" applyFill="0" applyBorder="0" applyAlignment="0" applyProtection="0">
      <alignment vertical="top"/>
      <protection locked="0"/>
    </xf>
    <xf numFmtId="0" fontId="0" fillId="0" borderId="0">
      <alignment vertical="center"/>
    </xf>
    <xf numFmtId="0" fontId="0" fillId="0" borderId="0">
      <alignment vertical="center"/>
    </xf>
    <xf numFmtId="0" fontId="1" fillId="9" borderId="25" applyNumberFormat="0" applyFont="0" applyAlignment="0" applyProtection="0">
      <alignment vertical="center"/>
    </xf>
    <xf numFmtId="0" fontId="0" fillId="0" borderId="0">
      <alignment vertical="center"/>
    </xf>
    <xf numFmtId="0" fontId="0" fillId="0" borderId="0">
      <alignment vertical="center"/>
    </xf>
    <xf numFmtId="0" fontId="56" fillId="32" borderId="28" applyNumberFormat="0" applyAlignment="0" applyProtection="0">
      <alignment vertical="center"/>
    </xf>
    <xf numFmtId="0" fontId="1" fillId="0" borderId="0"/>
    <xf numFmtId="0" fontId="45" fillId="0" borderId="0"/>
    <xf numFmtId="0" fontId="45" fillId="0" borderId="0"/>
    <xf numFmtId="0" fontId="1" fillId="0" borderId="0"/>
    <xf numFmtId="0" fontId="1" fillId="0" borderId="0"/>
    <xf numFmtId="0" fontId="1" fillId="0" borderId="0"/>
    <xf numFmtId="0" fontId="1" fillId="0" borderId="0">
      <alignment vertical="center"/>
    </xf>
    <xf numFmtId="0" fontId="44" fillId="15"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9" borderId="25" applyNumberFormat="0" applyFont="0" applyAlignment="0" applyProtection="0">
      <alignment vertical="center"/>
    </xf>
    <xf numFmtId="0" fontId="0" fillId="0" borderId="0">
      <alignment vertical="center"/>
    </xf>
    <xf numFmtId="0" fontId="1" fillId="9" borderId="25" applyNumberFormat="0" applyFont="0" applyAlignment="0" applyProtection="0">
      <alignment vertical="center"/>
    </xf>
    <xf numFmtId="0" fontId="1" fillId="0" borderId="0">
      <alignment vertical="center"/>
    </xf>
    <xf numFmtId="0" fontId="1" fillId="0" borderId="0">
      <alignment vertical="center"/>
    </xf>
    <xf numFmtId="0" fontId="0" fillId="0" borderId="0">
      <alignment vertical="center"/>
    </xf>
    <xf numFmtId="0" fontId="20" fillId="0" borderId="0"/>
    <xf numFmtId="0" fontId="1" fillId="0" borderId="0"/>
    <xf numFmtId="0" fontId="1" fillId="0" borderId="0"/>
    <xf numFmtId="0" fontId="69" fillId="0" borderId="0" applyNumberFormat="0" applyFill="0" applyBorder="0" applyAlignment="0" applyProtection="0">
      <alignment vertical="top"/>
      <protection locked="0"/>
    </xf>
    <xf numFmtId="0" fontId="36" fillId="46" borderId="0" applyNumberFormat="0" applyBorder="0" applyAlignment="0" applyProtection="0">
      <alignment vertical="center"/>
    </xf>
    <xf numFmtId="0" fontId="36" fillId="11" borderId="0" applyNumberFormat="0" applyBorder="0" applyAlignment="0" applyProtection="0">
      <alignment vertical="center"/>
    </xf>
    <xf numFmtId="0" fontId="1" fillId="9" borderId="25" applyNumberFormat="0" applyFont="0" applyAlignment="0" applyProtection="0">
      <alignment vertical="center"/>
    </xf>
    <xf numFmtId="0" fontId="49" fillId="22"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5" fillId="10" borderId="26" applyNumberFormat="0" applyAlignment="0" applyProtection="0">
      <alignment vertical="center"/>
    </xf>
    <xf numFmtId="0" fontId="36" fillId="11" borderId="0" applyNumberFormat="0" applyBorder="0" applyAlignment="0" applyProtection="0">
      <alignment vertical="center"/>
    </xf>
    <xf numFmtId="0" fontId="81" fillId="46" borderId="0" applyNumberFormat="0" applyBorder="0" applyAlignment="0" applyProtection="0">
      <alignment vertical="center"/>
    </xf>
    <xf numFmtId="0" fontId="56" fillId="32" borderId="28" applyNumberFormat="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44" fillId="24" borderId="0" applyNumberFormat="0" applyBorder="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61" fillId="45" borderId="33" applyNumberFormat="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42" fillId="0" borderId="29" applyNumberFormat="0" applyFill="0" applyAlignment="0" applyProtection="0">
      <alignment vertical="center"/>
    </xf>
    <xf numFmtId="0" fontId="41" fillId="10" borderId="28" applyNumberFormat="0" applyAlignment="0" applyProtection="0">
      <alignment vertical="center"/>
    </xf>
    <xf numFmtId="0" fontId="35" fillId="10" borderId="26" applyNumberFormat="0" applyAlignment="0" applyProtection="0">
      <alignment vertical="center"/>
    </xf>
    <xf numFmtId="0" fontId="41" fillId="10" borderId="28" applyNumberFormat="0" applyAlignment="0" applyProtection="0">
      <alignment vertical="center"/>
    </xf>
    <xf numFmtId="0" fontId="35" fillId="10" borderId="26" applyNumberFormat="0" applyAlignment="0" applyProtection="0">
      <alignment vertical="center"/>
    </xf>
    <xf numFmtId="0" fontId="41" fillId="10" borderId="28" applyNumberFormat="0" applyAlignment="0" applyProtection="0">
      <alignment vertical="center"/>
    </xf>
    <xf numFmtId="0" fontId="35" fillId="10" borderId="26" applyNumberFormat="0" applyAlignment="0" applyProtection="0">
      <alignment vertical="center"/>
    </xf>
    <xf numFmtId="0" fontId="41" fillId="10" borderId="28" applyNumberFormat="0" applyAlignment="0" applyProtection="0">
      <alignment vertical="center"/>
    </xf>
    <xf numFmtId="0" fontId="41" fillId="10" borderId="28" applyNumberFormat="0" applyAlignment="0" applyProtection="0">
      <alignment vertical="center"/>
    </xf>
    <xf numFmtId="0" fontId="35" fillId="10" borderId="26" applyNumberFormat="0" applyAlignment="0" applyProtection="0">
      <alignment vertical="center"/>
    </xf>
    <xf numFmtId="0" fontId="41" fillId="10" borderId="28" applyNumberFormat="0" applyAlignment="0" applyProtection="0">
      <alignment vertical="center"/>
    </xf>
    <xf numFmtId="0" fontId="35" fillId="10" borderId="26" applyNumberFormat="0" applyAlignment="0" applyProtection="0">
      <alignment vertical="center"/>
    </xf>
    <xf numFmtId="0" fontId="35" fillId="10" borderId="26" applyNumberFormat="0" applyAlignment="0" applyProtection="0">
      <alignment vertical="center"/>
    </xf>
    <xf numFmtId="0" fontId="41" fillId="10" borderId="28" applyNumberFormat="0" applyAlignment="0" applyProtection="0">
      <alignment vertical="center"/>
    </xf>
    <xf numFmtId="0" fontId="35" fillId="10" borderId="26" applyNumberFormat="0" applyAlignment="0" applyProtection="0">
      <alignment vertical="center"/>
    </xf>
    <xf numFmtId="0" fontId="41" fillId="10" borderId="28" applyNumberFormat="0" applyAlignment="0" applyProtection="0">
      <alignment vertical="center"/>
    </xf>
    <xf numFmtId="0" fontId="35" fillId="10" borderId="26" applyNumberFormat="0" applyAlignment="0" applyProtection="0">
      <alignment vertical="center"/>
    </xf>
    <xf numFmtId="0" fontId="41" fillId="10" borderId="28" applyNumberFormat="0" applyAlignment="0" applyProtection="0">
      <alignment vertical="center"/>
    </xf>
    <xf numFmtId="0" fontId="35" fillId="10" borderId="26" applyNumberFormat="0" applyAlignment="0" applyProtection="0">
      <alignment vertical="center"/>
    </xf>
    <xf numFmtId="0" fontId="41" fillId="10" borderId="28" applyNumberFormat="0" applyAlignment="0" applyProtection="0">
      <alignment vertical="center"/>
    </xf>
    <xf numFmtId="0" fontId="41" fillId="10" borderId="28" applyNumberFormat="0" applyAlignment="0" applyProtection="0">
      <alignment vertical="center"/>
    </xf>
    <xf numFmtId="0" fontId="41" fillId="10" borderId="28" applyNumberFormat="0" applyAlignment="0" applyProtection="0">
      <alignment vertical="center"/>
    </xf>
    <xf numFmtId="0" fontId="41" fillId="10" borderId="28" applyNumberFormat="0" applyAlignment="0" applyProtection="0">
      <alignment vertical="center"/>
    </xf>
    <xf numFmtId="0" fontId="41" fillId="10" borderId="28" applyNumberFormat="0" applyAlignment="0" applyProtection="0">
      <alignment vertical="center"/>
    </xf>
    <xf numFmtId="0" fontId="74" fillId="0" borderId="0" applyNumberFormat="0" applyFill="0" applyBorder="0" applyAlignment="0" applyProtection="0">
      <alignment vertical="center"/>
    </xf>
    <xf numFmtId="0" fontId="78" fillId="0" borderId="0" applyNumberFormat="0" applyFill="0" applyBorder="0" applyAlignment="0" applyProtection="0">
      <alignment vertical="center"/>
    </xf>
    <xf numFmtId="0" fontId="1" fillId="9" borderId="25" applyNumberFormat="0" applyFont="0" applyAlignment="0" applyProtection="0">
      <alignment vertical="center"/>
    </xf>
    <xf numFmtId="0" fontId="80" fillId="0" borderId="39" applyNumberFormat="0" applyFill="0" applyAlignment="0" applyProtection="0">
      <alignment vertical="center"/>
    </xf>
    <xf numFmtId="0" fontId="20" fillId="0" borderId="0"/>
    <xf numFmtId="0" fontId="47" fillId="0" borderId="0"/>
    <xf numFmtId="0" fontId="50" fillId="0" borderId="0"/>
    <xf numFmtId="0" fontId="50" fillId="0" borderId="0"/>
    <xf numFmtId="179" fontId="25" fillId="0" borderId="0" applyFont="0" applyFill="0" applyBorder="0" applyAlignment="0" applyProtection="0"/>
    <xf numFmtId="0" fontId="56" fillId="32" borderId="28" applyNumberFormat="0" applyAlignment="0" applyProtection="0">
      <alignment vertical="center"/>
    </xf>
    <xf numFmtId="185" fontId="25" fillId="0" borderId="0" applyFont="0" applyFill="0" applyBorder="0" applyAlignment="0" applyProtection="0"/>
    <xf numFmtId="41" fontId="20"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4" fillId="39" borderId="0" applyNumberFormat="0" applyBorder="0" applyAlignment="0" applyProtection="0">
      <alignment vertical="center"/>
    </xf>
    <xf numFmtId="0" fontId="44" fillId="56" borderId="0" applyNumberFormat="0" applyBorder="0" applyAlignment="0" applyProtection="0">
      <alignment vertical="center"/>
    </xf>
    <xf numFmtId="0" fontId="44" fillId="57" borderId="0" applyNumberFormat="0" applyBorder="0" applyAlignment="0" applyProtection="0">
      <alignment vertical="center"/>
    </xf>
    <xf numFmtId="0" fontId="56" fillId="32" borderId="28" applyNumberFormat="0" applyAlignment="0" applyProtection="0">
      <alignment vertical="center"/>
    </xf>
    <xf numFmtId="0" fontId="44" fillId="58" borderId="0" applyNumberFormat="0" applyBorder="0" applyAlignment="0" applyProtection="0">
      <alignment vertical="center"/>
    </xf>
    <xf numFmtId="0" fontId="1" fillId="0" borderId="0"/>
    <xf numFmtId="0" fontId="35" fillId="10" borderId="26" applyNumberFormat="0" applyAlignment="0" applyProtection="0">
      <alignment vertical="center"/>
    </xf>
    <xf numFmtId="0" fontId="35" fillId="10" borderId="26" applyNumberFormat="0" applyAlignment="0" applyProtection="0">
      <alignment vertical="center"/>
    </xf>
    <xf numFmtId="0" fontId="35" fillId="10" borderId="26" applyNumberFormat="0" applyAlignment="0" applyProtection="0">
      <alignment vertical="center"/>
    </xf>
    <xf numFmtId="0" fontId="35" fillId="10" borderId="26" applyNumberFormat="0" applyAlignment="0" applyProtection="0">
      <alignment vertical="center"/>
    </xf>
    <xf numFmtId="0" fontId="35" fillId="10" borderId="26" applyNumberFormat="0" applyAlignment="0" applyProtection="0">
      <alignment vertical="center"/>
    </xf>
    <xf numFmtId="0" fontId="66" fillId="0" borderId="0"/>
    <xf numFmtId="0" fontId="56" fillId="32" borderId="28" applyNumberFormat="0" applyAlignment="0" applyProtection="0">
      <alignment vertical="center"/>
    </xf>
    <xf numFmtId="0" fontId="56" fillId="32" borderId="28" applyNumberFormat="0" applyAlignment="0" applyProtection="0">
      <alignment vertical="center"/>
    </xf>
    <xf numFmtId="0" fontId="56" fillId="32" borderId="28" applyNumberFormat="0" applyAlignment="0" applyProtection="0">
      <alignment vertical="center"/>
    </xf>
    <xf numFmtId="0" fontId="56" fillId="32" borderId="28" applyNumberFormat="0" applyAlignment="0" applyProtection="0">
      <alignment vertical="center"/>
    </xf>
    <xf numFmtId="0" fontId="56" fillId="32" borderId="28" applyNumberFormat="0" applyAlignment="0" applyProtection="0">
      <alignment vertical="center"/>
    </xf>
    <xf numFmtId="0" fontId="56" fillId="32" borderId="28" applyNumberFormat="0" applyAlignment="0" applyProtection="0">
      <alignment vertical="center"/>
    </xf>
    <xf numFmtId="0" fontId="56" fillId="32" borderId="28" applyNumberFormat="0" applyAlignment="0" applyProtection="0">
      <alignment vertical="center"/>
    </xf>
    <xf numFmtId="0" fontId="56" fillId="32" borderId="28" applyNumberFormat="0" applyAlignment="0" applyProtection="0">
      <alignment vertical="center"/>
    </xf>
    <xf numFmtId="0" fontId="56" fillId="32" borderId="28" applyNumberFormat="0" applyAlignment="0" applyProtection="0">
      <alignment vertical="center"/>
    </xf>
    <xf numFmtId="0" fontId="56" fillId="32" borderId="28" applyNumberFormat="0" applyAlignment="0" applyProtection="0">
      <alignment vertical="center"/>
    </xf>
    <xf numFmtId="0" fontId="56" fillId="32" borderId="28" applyNumberFormat="0" applyAlignment="0" applyProtection="0">
      <alignment vertical="center"/>
    </xf>
    <xf numFmtId="0" fontId="56" fillId="32" borderId="28" applyNumberFormat="0" applyAlignment="0" applyProtection="0">
      <alignment vertical="center"/>
    </xf>
    <xf numFmtId="0" fontId="56" fillId="32" borderId="28" applyNumberFormat="0" applyAlignment="0" applyProtection="0">
      <alignment vertical="center"/>
    </xf>
    <xf numFmtId="0" fontId="56" fillId="32" borderId="28" applyNumberFormat="0" applyAlignment="0" applyProtection="0">
      <alignment vertical="center"/>
    </xf>
    <xf numFmtId="0" fontId="1" fillId="9" borderId="25" applyNumberFormat="0" applyFont="0" applyAlignment="0" applyProtection="0">
      <alignment vertical="center"/>
    </xf>
    <xf numFmtId="0" fontId="1" fillId="9" borderId="25" applyNumberFormat="0" applyFont="0" applyAlignment="0" applyProtection="0">
      <alignment vertical="center"/>
    </xf>
    <xf numFmtId="0" fontId="1" fillId="9" borderId="25" applyNumberFormat="0" applyFont="0" applyAlignment="0" applyProtection="0">
      <alignment vertical="center"/>
    </xf>
    <xf numFmtId="0" fontId="1" fillId="9" borderId="25" applyNumberFormat="0" applyFont="0" applyAlignment="0" applyProtection="0">
      <alignment vertical="center"/>
    </xf>
    <xf numFmtId="0" fontId="1" fillId="9" borderId="25" applyNumberFormat="0" applyFont="0" applyAlignment="0" applyProtection="0">
      <alignment vertical="center"/>
    </xf>
    <xf numFmtId="0" fontId="1" fillId="9" borderId="25" applyNumberFormat="0" applyFont="0" applyAlignment="0" applyProtection="0">
      <alignment vertical="center"/>
    </xf>
    <xf numFmtId="0" fontId="1" fillId="9" borderId="25" applyNumberFormat="0" applyFont="0" applyAlignment="0" applyProtection="0">
      <alignment vertical="center"/>
    </xf>
    <xf numFmtId="0" fontId="1" fillId="9" borderId="25" applyNumberFormat="0" applyFont="0" applyAlignment="0" applyProtection="0">
      <alignment vertical="center"/>
    </xf>
    <xf numFmtId="0" fontId="1" fillId="9" borderId="25" applyNumberFormat="0" applyFont="0" applyAlignment="0" applyProtection="0">
      <alignment vertical="center"/>
    </xf>
    <xf numFmtId="0" fontId="1" fillId="9" borderId="25" applyNumberFormat="0" applyFont="0" applyAlignment="0" applyProtection="0">
      <alignment vertical="center"/>
    </xf>
    <xf numFmtId="0" fontId="1" fillId="9" borderId="25" applyNumberFormat="0" applyFont="0" applyAlignment="0" applyProtection="0">
      <alignment vertical="center"/>
    </xf>
  </cellStyleXfs>
  <cellXfs count="280">
    <xf numFmtId="0" fontId="0" fillId="0" borderId="0" xfId="0">
      <alignment vertical="center"/>
    </xf>
    <xf numFmtId="0" fontId="1" fillId="0" borderId="0" xfId="0" applyFont="1" applyFill="1" applyBorder="1" applyAlignment="1">
      <alignment vertical="center"/>
    </xf>
    <xf numFmtId="0" fontId="1" fillId="2"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146" applyFont="1" applyFill="1" applyBorder="1" applyAlignment="1">
      <alignment vertical="center"/>
    </xf>
    <xf numFmtId="0" fontId="2" fillId="0" borderId="0" xfId="146" applyFont="1" applyFill="1" applyBorder="1" applyAlignment="1">
      <alignment horizontal="center" vertical="center"/>
    </xf>
    <xf numFmtId="180" fontId="2" fillId="0" borderId="0" xfId="146" applyNumberFormat="1" applyFont="1" applyFill="1" applyBorder="1" applyAlignment="1">
      <alignment horizontal="right" vertical="center"/>
    </xf>
    <xf numFmtId="180" fontId="2" fillId="0" borderId="0" xfId="146" applyNumberFormat="1" applyFont="1" applyFill="1" applyBorder="1" applyAlignment="1">
      <alignment vertical="center"/>
    </xf>
    <xf numFmtId="0" fontId="3" fillId="0" borderId="0" xfId="146" applyFont="1" applyFill="1" applyBorder="1" applyAlignment="1">
      <alignment horizontal="center" vertical="center"/>
    </xf>
    <xf numFmtId="0" fontId="4" fillId="0" borderId="0" xfId="146" applyFont="1" applyFill="1" applyBorder="1" applyAlignment="1">
      <alignment vertical="center"/>
    </xf>
    <xf numFmtId="0" fontId="5" fillId="0" borderId="0" xfId="146" applyFont="1" applyFill="1" applyBorder="1" applyAlignment="1">
      <alignment horizontal="center" vertical="center"/>
    </xf>
    <xf numFmtId="180" fontId="5" fillId="0" borderId="0" xfId="146" applyNumberFormat="1" applyFont="1" applyFill="1" applyBorder="1" applyAlignment="1">
      <alignment horizontal="right" vertical="center"/>
    </xf>
    <xf numFmtId="180" fontId="5" fillId="0" borderId="0" xfId="146" applyNumberFormat="1" applyFont="1" applyFill="1" applyBorder="1" applyAlignment="1">
      <alignment vertical="center"/>
    </xf>
    <xf numFmtId="0" fontId="4" fillId="0" borderId="0" xfId="146" applyFont="1" applyFill="1" applyBorder="1" applyAlignment="1">
      <alignment horizontal="left" vertical="center"/>
    </xf>
    <xf numFmtId="0" fontId="4" fillId="0" borderId="1" xfId="146" applyFont="1" applyFill="1" applyBorder="1" applyAlignment="1">
      <alignment horizontal="center" vertical="center" wrapText="1"/>
    </xf>
    <xf numFmtId="0" fontId="4" fillId="0" borderId="1" xfId="146" applyFont="1" applyFill="1" applyBorder="1" applyAlignment="1">
      <alignment horizontal="center" vertical="center"/>
    </xf>
    <xf numFmtId="180" fontId="4" fillId="0" borderId="1" xfId="146" applyNumberFormat="1" applyFont="1" applyFill="1" applyBorder="1" applyAlignment="1">
      <alignment horizontal="center" vertical="center"/>
    </xf>
    <xf numFmtId="180" fontId="4" fillId="0" borderId="2" xfId="146" applyNumberFormat="1" applyFont="1" applyFill="1" applyBorder="1" applyAlignment="1">
      <alignment horizontal="center" vertical="center"/>
    </xf>
    <xf numFmtId="180" fontId="4" fillId="0" borderId="2" xfId="146" applyNumberFormat="1" applyFont="1" applyFill="1" applyBorder="1" applyAlignment="1">
      <alignment horizontal="right" vertical="center"/>
    </xf>
    <xf numFmtId="0" fontId="4" fillId="0" borderId="3" xfId="146" applyFont="1" applyFill="1" applyBorder="1" applyAlignment="1">
      <alignment vertical="center" wrapText="1"/>
    </xf>
    <xf numFmtId="0" fontId="4" fillId="0" borderId="3" xfId="146" applyFont="1" applyFill="1" applyBorder="1" applyAlignment="1">
      <alignment horizontal="center" vertical="center"/>
    </xf>
    <xf numFmtId="180" fontId="4" fillId="0" borderId="3" xfId="146" applyNumberFormat="1" applyFont="1" applyFill="1" applyBorder="1" applyAlignment="1">
      <alignment horizontal="center" vertical="center"/>
    </xf>
    <xf numFmtId="0" fontId="4" fillId="0" borderId="2" xfId="146" applyFont="1" applyFill="1" applyBorder="1" applyAlignment="1">
      <alignment horizontal="center" vertical="center"/>
    </xf>
    <xf numFmtId="180" fontId="2" fillId="0" borderId="0" xfId="146" applyNumberFormat="1" applyFont="1" applyFill="1" applyBorder="1" applyAlignment="1">
      <alignment horizontal="center" vertical="center"/>
    </xf>
    <xf numFmtId="0" fontId="1" fillId="0" borderId="2" xfId="146" applyFont="1" applyFill="1" applyBorder="1" applyAlignment="1">
      <alignment horizontal="center" vertical="center"/>
    </xf>
    <xf numFmtId="180" fontId="4" fillId="3" borderId="2" xfId="146" applyNumberFormat="1" applyFont="1" applyFill="1" applyBorder="1" applyAlignment="1">
      <alignment horizontal="center" vertical="center"/>
    </xf>
    <xf numFmtId="180" fontId="1" fillId="0" borderId="2" xfId="146" applyNumberFormat="1" applyFont="1" applyFill="1" applyBorder="1" applyAlignment="1">
      <alignment horizontal="center" vertical="center"/>
    </xf>
    <xf numFmtId="180" fontId="2" fillId="0" borderId="2" xfId="146" applyNumberFormat="1" applyFont="1" applyFill="1" applyBorder="1" applyAlignment="1">
      <alignment horizontal="center" vertical="center"/>
    </xf>
    <xf numFmtId="0" fontId="4" fillId="2" borderId="2" xfId="146" applyFont="1" applyFill="1" applyBorder="1" applyAlignment="1">
      <alignment horizontal="center" vertical="center"/>
    </xf>
    <xf numFmtId="180" fontId="4" fillId="2" borderId="2" xfId="146" applyNumberFormat="1" applyFont="1" applyFill="1" applyBorder="1" applyAlignment="1">
      <alignment horizontal="center" vertical="center"/>
    </xf>
    <xf numFmtId="180" fontId="2" fillId="2" borderId="2" xfId="146" applyNumberFormat="1" applyFont="1" applyFill="1" applyBorder="1" applyAlignment="1">
      <alignment horizontal="center" vertical="center" wrapText="1"/>
    </xf>
    <xf numFmtId="180" fontId="2" fillId="2" borderId="0" xfId="146" applyNumberFormat="1" applyFont="1" applyFill="1" applyBorder="1" applyAlignment="1">
      <alignment horizontal="center" vertical="center"/>
    </xf>
    <xf numFmtId="180" fontId="1" fillId="2" borderId="2" xfId="146" applyNumberFormat="1" applyFont="1" applyFill="1" applyBorder="1" applyAlignment="1">
      <alignment horizontal="center" vertical="center"/>
    </xf>
    <xf numFmtId="0" fontId="1" fillId="0" borderId="0" xfId="146" applyFont="1" applyFill="1" applyBorder="1" applyAlignment="1">
      <alignment horizontal="center" vertical="center"/>
    </xf>
    <xf numFmtId="186" fontId="1" fillId="0" borderId="0" xfId="146" applyNumberFormat="1" applyFont="1" applyFill="1" applyBorder="1" applyAlignment="1">
      <alignment horizontal="center" vertical="center"/>
    </xf>
    <xf numFmtId="180" fontId="2" fillId="0" borderId="0" xfId="146" applyNumberFormat="1" applyFont="1" applyFill="1" applyBorder="1" applyAlignment="1">
      <alignment vertical="center" wrapText="1"/>
    </xf>
    <xf numFmtId="180" fontId="1" fillId="0" borderId="0" xfId="146" applyNumberFormat="1" applyFont="1" applyFill="1" applyBorder="1" applyAlignment="1">
      <alignment horizontal="center" vertical="center"/>
    </xf>
    <xf numFmtId="0" fontId="1" fillId="0" borderId="0" xfId="146" applyFont="1" applyFill="1" applyBorder="1" applyAlignment="1">
      <alignment vertical="center" wrapText="1"/>
    </xf>
    <xf numFmtId="0" fontId="2" fillId="2" borderId="0" xfId="146" applyFont="1" applyFill="1" applyBorder="1" applyAlignment="1">
      <alignment horizontal="center" vertical="center"/>
    </xf>
    <xf numFmtId="0" fontId="6" fillId="0" borderId="0" xfId="0" applyFont="1" applyFill="1" applyBorder="1" applyAlignment="1">
      <alignment vertical="center"/>
    </xf>
    <xf numFmtId="0" fontId="1" fillId="0" borderId="0" xfId="146"/>
    <xf numFmtId="0" fontId="7" fillId="0" borderId="0" xfId="131" applyFont="1" applyAlignment="1">
      <alignment horizontal="centerContinuous" vertical="center"/>
    </xf>
    <xf numFmtId="0" fontId="8" fillId="0" borderId="0" xfId="131" applyFont="1" applyAlignment="1">
      <alignment horizontal="centerContinuous" vertical="center"/>
    </xf>
    <xf numFmtId="0" fontId="9" fillId="0" borderId="4" xfId="131" applyFont="1" applyBorder="1" applyAlignment="1">
      <alignment horizontal="center" vertical="center"/>
    </xf>
    <xf numFmtId="0" fontId="9" fillId="0" borderId="5" xfId="131" applyFont="1" applyBorder="1" applyAlignment="1">
      <alignment horizontal="right" vertical="center"/>
    </xf>
    <xf numFmtId="0" fontId="9" fillId="0" borderId="1" xfId="131" applyFont="1" applyBorder="1" applyAlignment="1">
      <alignment horizontal="center" vertical="center"/>
    </xf>
    <xf numFmtId="0" fontId="9" fillId="0" borderId="6" xfId="131" applyFont="1" applyBorder="1" applyAlignment="1">
      <alignment horizontal="center" vertical="center"/>
    </xf>
    <xf numFmtId="0" fontId="9" fillId="0" borderId="7" xfId="131" applyFont="1" applyBorder="1" applyAlignment="1">
      <alignment vertical="center"/>
    </xf>
    <xf numFmtId="0" fontId="9" fillId="0" borderId="3" xfId="131" applyFont="1" applyBorder="1" applyAlignment="1">
      <alignment horizontal="center" vertical="center"/>
    </xf>
    <xf numFmtId="0" fontId="9" fillId="0" borderId="8" xfId="131" applyFont="1" applyBorder="1" applyAlignment="1">
      <alignment horizontal="center" vertical="center"/>
    </xf>
    <xf numFmtId="0" fontId="9" fillId="0" borderId="2" xfId="131" applyFont="1" applyBorder="1" applyAlignment="1">
      <alignment horizontal="center" vertical="center"/>
    </xf>
    <xf numFmtId="0" fontId="9" fillId="0" borderId="3" xfId="131" applyFont="1" applyBorder="1" applyAlignment="1">
      <alignment vertical="center"/>
    </xf>
    <xf numFmtId="9" fontId="9" fillId="0" borderId="3" xfId="131" applyNumberFormat="1" applyFont="1" applyBorder="1" applyAlignment="1">
      <alignment horizontal="center" vertical="center"/>
    </xf>
    <xf numFmtId="9" fontId="0" fillId="0" borderId="0" xfId="19" applyNumberFormat="1" applyFont="1" applyAlignment="1"/>
    <xf numFmtId="180" fontId="9" fillId="0" borderId="3" xfId="131" applyNumberFormat="1" applyFont="1" applyBorder="1" applyAlignment="1">
      <alignment horizontal="center" vertical="center"/>
    </xf>
    <xf numFmtId="9" fontId="9" fillId="0" borderId="8" xfId="131" applyNumberFormat="1" applyFont="1" applyBorder="1" applyAlignment="1">
      <alignment horizontal="center" vertical="center"/>
    </xf>
    <xf numFmtId="0" fontId="10" fillId="0" borderId="0" xfId="146" applyFont="1"/>
    <xf numFmtId="0" fontId="11" fillId="0" borderId="2" xfId="131" applyFont="1" applyBorder="1" applyAlignment="1">
      <alignment horizontal="center" vertical="center"/>
    </xf>
    <xf numFmtId="0" fontId="12" fillId="0" borderId="2" xfId="131" applyFont="1" applyBorder="1" applyAlignment="1">
      <alignment vertical="center"/>
    </xf>
    <xf numFmtId="0" fontId="9" fillId="0" borderId="2" xfId="131" applyFont="1" applyBorder="1" applyAlignment="1">
      <alignment vertical="center"/>
    </xf>
    <xf numFmtId="10" fontId="9" fillId="0" borderId="2" xfId="186" applyNumberFormat="1" applyFont="1" applyBorder="1" applyAlignment="1">
      <alignment vertical="center"/>
    </xf>
    <xf numFmtId="0" fontId="13" fillId="0" borderId="2" xfId="131" applyFont="1" applyBorder="1" applyAlignment="1">
      <alignment horizontal="left" vertical="center"/>
    </xf>
    <xf numFmtId="180" fontId="9" fillId="0" borderId="0" xfId="131" applyNumberFormat="1" applyFont="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180" fontId="15" fillId="0" borderId="12" xfId="0" applyNumberFormat="1" applyFont="1" applyBorder="1" applyAlignment="1">
      <alignment horizontal="center" vertical="center"/>
    </xf>
    <xf numFmtId="10" fontId="15" fillId="0" borderId="12" xfId="0" applyNumberFormat="1" applyFont="1" applyBorder="1" applyAlignment="1">
      <alignment horizontal="center" vertical="center"/>
    </xf>
    <xf numFmtId="181" fontId="15" fillId="0" borderId="12" xfId="0" applyNumberFormat="1" applyFont="1" applyBorder="1" applyAlignment="1">
      <alignment horizontal="center" vertical="center"/>
    </xf>
    <xf numFmtId="0" fontId="0" fillId="0" borderId="12" xfId="0" applyBorder="1">
      <alignment vertical="center"/>
    </xf>
    <xf numFmtId="187" fontId="16" fillId="0" borderId="4" xfId="184" applyNumberFormat="1" applyFont="1" applyFill="1" applyBorder="1" applyAlignment="1">
      <alignment vertical="center"/>
    </xf>
    <xf numFmtId="1" fontId="17" fillId="0" borderId="2" xfId="136" applyNumberFormat="1" applyFont="1" applyFill="1" applyBorder="1" applyAlignment="1">
      <alignment horizontal="center" vertical="center"/>
    </xf>
    <xf numFmtId="187" fontId="18" fillId="0" borderId="4" xfId="184" applyNumberFormat="1" applyFont="1" applyFill="1" applyBorder="1" applyAlignment="1">
      <alignment vertical="center"/>
    </xf>
    <xf numFmtId="0" fontId="19" fillId="0" borderId="2" xfId="246" applyFont="1" applyFill="1" applyBorder="1" applyAlignment="1">
      <alignment vertical="center" wrapText="1"/>
    </xf>
    <xf numFmtId="0" fontId="0" fillId="4" borderId="0" xfId="0" applyFill="1">
      <alignment vertical="center"/>
    </xf>
    <xf numFmtId="0" fontId="17" fillId="0" borderId="0" xfId="166" applyFont="1" applyAlignment="1" applyProtection="1">
      <alignment vertical="center"/>
      <protection locked="0"/>
    </xf>
    <xf numFmtId="0" fontId="17" fillId="0" borderId="0" xfId="166" applyFont="1" applyBorder="1" applyAlignment="1" applyProtection="1">
      <alignment vertical="center"/>
      <protection locked="0"/>
    </xf>
    <xf numFmtId="0" fontId="17" fillId="0" borderId="0" xfId="166" applyFont="1" applyBorder="1" applyAlignment="1" applyProtection="1">
      <alignment horizontal="left" vertical="center"/>
      <protection locked="0"/>
    </xf>
    <xf numFmtId="0" fontId="20" fillId="0" borderId="0" xfId="166" applyBorder="1"/>
    <xf numFmtId="0" fontId="20" fillId="0" borderId="0" xfId="166"/>
    <xf numFmtId="0" fontId="21" fillId="0" borderId="0" xfId="166" applyFont="1" applyAlignment="1" applyProtection="1">
      <alignment horizontal="center" vertical="center"/>
      <protection locked="0"/>
    </xf>
    <xf numFmtId="0" fontId="17" fillId="0" borderId="13" xfId="166" applyFont="1" applyBorder="1" applyAlignment="1" applyProtection="1">
      <alignment horizontal="center" vertical="center"/>
      <protection locked="0"/>
    </xf>
    <xf numFmtId="49" fontId="17" fillId="0" borderId="14" xfId="166" applyNumberFormat="1" applyFont="1" applyBorder="1" applyAlignment="1" applyProtection="1">
      <alignment horizontal="center" vertical="center"/>
      <protection locked="0"/>
    </xf>
    <xf numFmtId="0" fontId="17" fillId="0" borderId="15" xfId="166" applyFont="1" applyBorder="1" applyAlignment="1" applyProtection="1">
      <alignment horizontal="center" vertical="center"/>
      <protection locked="0"/>
    </xf>
    <xf numFmtId="2" fontId="17" fillId="0" borderId="15" xfId="166" applyNumberFormat="1" applyFont="1" applyBorder="1" applyAlignment="1" applyProtection="1">
      <alignment horizontal="center" vertical="center"/>
      <protection locked="0"/>
    </xf>
    <xf numFmtId="0" fontId="17" fillId="0" borderId="16" xfId="166" applyFont="1" applyBorder="1" applyAlignment="1" applyProtection="1">
      <alignment horizontal="center" vertical="center"/>
      <protection locked="0"/>
    </xf>
    <xf numFmtId="0" fontId="17" fillId="0" borderId="17" xfId="166" applyFont="1" applyBorder="1" applyAlignment="1" applyProtection="1">
      <alignment horizontal="center" vertical="center"/>
      <protection locked="0"/>
    </xf>
    <xf numFmtId="49" fontId="17" fillId="0" borderId="8" xfId="166" applyNumberFormat="1" applyFont="1" applyBorder="1" applyAlignment="1" applyProtection="1">
      <alignment horizontal="center" vertical="center"/>
      <protection locked="0"/>
    </xf>
    <xf numFmtId="0" fontId="17" fillId="0" borderId="3" xfId="166" applyFont="1" applyBorder="1" applyAlignment="1" applyProtection="1">
      <alignment horizontal="center" vertical="center"/>
      <protection locked="0"/>
    </xf>
    <xf numFmtId="0" fontId="17" fillId="0" borderId="18" xfId="166" applyFont="1" applyBorder="1" applyAlignment="1" applyProtection="1">
      <alignment horizontal="center" vertical="center"/>
      <protection locked="0"/>
    </xf>
    <xf numFmtId="2" fontId="17" fillId="0" borderId="3" xfId="166" applyNumberFormat="1" applyFont="1" applyBorder="1" applyAlignment="1" applyProtection="1">
      <alignment horizontal="center" vertical="center"/>
      <protection locked="0"/>
    </xf>
    <xf numFmtId="0" fontId="17" fillId="0" borderId="2" xfId="166" applyFont="1" applyBorder="1" applyAlignment="1" applyProtection="1">
      <alignment horizontal="center" vertical="center"/>
      <protection locked="0"/>
    </xf>
    <xf numFmtId="49" fontId="17" fillId="0" borderId="19" xfId="166" applyNumberFormat="1" applyFont="1" applyBorder="1" applyAlignment="1" applyProtection="1">
      <alignment horizontal="center" vertical="center"/>
      <protection locked="0"/>
    </xf>
    <xf numFmtId="0" fontId="17" fillId="0" borderId="6" xfId="166" applyFont="1" applyFill="1" applyBorder="1" applyAlignment="1">
      <alignment horizontal="left" vertical="center" shrinkToFit="1"/>
    </xf>
    <xf numFmtId="182" fontId="17" fillId="5" borderId="2" xfId="166" applyNumberFormat="1" applyFont="1" applyFill="1" applyBorder="1" applyAlignment="1">
      <alignment horizontal="center" vertical="center" shrinkToFit="1"/>
    </xf>
    <xf numFmtId="0" fontId="17" fillId="5" borderId="2" xfId="166" applyNumberFormat="1" applyFont="1" applyFill="1" applyBorder="1" applyAlignment="1">
      <alignment horizontal="center" vertical="center" shrinkToFit="1"/>
    </xf>
    <xf numFmtId="182" fontId="17" fillId="5" borderId="4" xfId="166" applyNumberFormat="1" applyFont="1" applyFill="1" applyBorder="1" applyAlignment="1">
      <alignment horizontal="center" vertical="center" shrinkToFit="1"/>
    </xf>
    <xf numFmtId="0" fontId="17" fillId="6" borderId="2" xfId="253" applyFont="1" applyFill="1" applyBorder="1" applyAlignment="1">
      <alignment vertical="center" wrapText="1"/>
    </xf>
    <xf numFmtId="0" fontId="17" fillId="0" borderId="2" xfId="253" applyFont="1" applyBorder="1" applyAlignment="1">
      <alignment horizontal="center" vertical="center"/>
    </xf>
    <xf numFmtId="182" fontId="17" fillId="0" borderId="2" xfId="253" applyNumberFormat="1" applyFont="1" applyBorder="1" applyAlignment="1">
      <alignment horizontal="center" vertical="center"/>
    </xf>
    <xf numFmtId="182" fontId="17" fillId="0" borderId="4" xfId="253" applyNumberFormat="1" applyFont="1" applyBorder="1" applyAlignment="1">
      <alignment horizontal="center" vertical="center"/>
    </xf>
    <xf numFmtId="182" fontId="17" fillId="5" borderId="2" xfId="166" applyNumberFormat="1" applyFont="1" applyFill="1" applyBorder="1" applyAlignment="1">
      <alignment horizontal="right" vertical="center" shrinkToFit="1"/>
    </xf>
    <xf numFmtId="181" fontId="17" fillId="5" borderId="2" xfId="166" applyNumberFormat="1" applyFont="1" applyFill="1" applyBorder="1" applyAlignment="1">
      <alignment vertical="center" shrinkToFit="1"/>
    </xf>
    <xf numFmtId="181" fontId="17" fillId="5" borderId="4" xfId="166" applyNumberFormat="1" applyFont="1" applyFill="1" applyBorder="1" applyAlignment="1">
      <alignment vertical="center" shrinkToFit="1"/>
    </xf>
    <xf numFmtId="181" fontId="17" fillId="5" borderId="2" xfId="166" applyNumberFormat="1" applyFont="1" applyFill="1" applyBorder="1" applyAlignment="1">
      <alignment horizontal="right" vertical="center" shrinkToFit="1"/>
    </xf>
    <xf numFmtId="181" fontId="17" fillId="5" borderId="4" xfId="166" applyNumberFormat="1" applyFont="1" applyFill="1" applyBorder="1" applyAlignment="1">
      <alignment horizontal="right" vertical="center" shrinkToFit="1"/>
    </xf>
    <xf numFmtId="0" fontId="17" fillId="0" borderId="2" xfId="166" applyFont="1" applyBorder="1" applyAlignment="1" applyProtection="1">
      <alignment horizontal="left" vertical="center"/>
      <protection locked="0"/>
    </xf>
    <xf numFmtId="49" fontId="17" fillId="0" borderId="20" xfId="166" applyNumberFormat="1" applyFont="1" applyBorder="1" applyAlignment="1" applyProtection="1">
      <alignment horizontal="center" vertical="center"/>
      <protection locked="0"/>
    </xf>
    <xf numFmtId="0" fontId="17" fillId="0" borderId="21" xfId="166" applyFont="1" applyBorder="1" applyAlignment="1" applyProtection="1">
      <alignment horizontal="left" vertical="center"/>
      <protection locked="0"/>
    </xf>
    <xf numFmtId="0" fontId="17" fillId="0" borderId="21" xfId="166" applyFont="1" applyBorder="1" applyAlignment="1" applyProtection="1">
      <alignment horizontal="center" vertical="center"/>
      <protection locked="0"/>
    </xf>
    <xf numFmtId="2" fontId="17" fillId="0" borderId="21" xfId="166" applyNumberFormat="1" applyFont="1" applyBorder="1" applyAlignment="1" applyProtection="1">
      <alignment horizontal="right" vertical="center"/>
      <protection locked="0"/>
    </xf>
    <xf numFmtId="2" fontId="17" fillId="0" borderId="22" xfId="166" applyNumberFormat="1" applyFont="1" applyBorder="1" applyAlignment="1" applyProtection="1">
      <alignment horizontal="right" vertical="center"/>
      <protection locked="0"/>
    </xf>
    <xf numFmtId="1" fontId="17" fillId="0" borderId="22" xfId="166" applyNumberFormat="1" applyFont="1" applyBorder="1" applyAlignment="1" applyProtection="1">
      <alignment horizontal="right" vertical="center"/>
      <protection locked="0"/>
    </xf>
    <xf numFmtId="49" fontId="17" fillId="0" borderId="0" xfId="166" applyNumberFormat="1" applyFont="1" applyBorder="1" applyAlignment="1" applyProtection="1">
      <alignment horizontal="center" vertical="center"/>
      <protection locked="0"/>
    </xf>
    <xf numFmtId="0" fontId="17" fillId="0" borderId="0" xfId="166" applyFont="1" applyBorder="1" applyAlignment="1" applyProtection="1">
      <alignment horizontal="center" vertical="center"/>
      <protection locked="0"/>
    </xf>
    <xf numFmtId="2" fontId="17" fillId="0" borderId="0" xfId="166" applyNumberFormat="1" applyFont="1" applyBorder="1" applyAlignment="1" applyProtection="1">
      <alignment horizontal="right" vertical="center"/>
      <protection locked="0"/>
    </xf>
    <xf numFmtId="1" fontId="17" fillId="0" borderId="0" xfId="166" applyNumberFormat="1" applyFont="1" applyBorder="1" applyAlignment="1" applyProtection="1">
      <alignment horizontal="right" vertical="center"/>
      <protection locked="0"/>
    </xf>
    <xf numFmtId="0" fontId="17" fillId="0" borderId="0" xfId="166" applyFont="1" applyBorder="1" applyAlignment="1" applyProtection="1">
      <alignment horizontal="centerContinuous" vertical="center"/>
      <protection locked="0"/>
    </xf>
    <xf numFmtId="2" fontId="17" fillId="0" borderId="0" xfId="166" applyNumberFormat="1" applyFont="1" applyBorder="1" applyAlignment="1" applyProtection="1">
      <alignment horizontal="centerContinuous" vertical="center"/>
      <protection locked="0"/>
    </xf>
    <xf numFmtId="2" fontId="17" fillId="0" borderId="0" xfId="166" applyNumberFormat="1" applyFont="1" applyBorder="1" applyAlignment="1" applyProtection="1">
      <alignment horizontal="center" vertical="center"/>
      <protection locked="0"/>
    </xf>
    <xf numFmtId="49" fontId="17" fillId="0" borderId="0" xfId="166" applyNumberFormat="1" applyFont="1" applyBorder="1" applyAlignment="1" applyProtection="1">
      <alignment vertical="center"/>
      <protection locked="0"/>
    </xf>
    <xf numFmtId="2" fontId="17" fillId="0" borderId="0" xfId="166" applyNumberFormat="1" applyFont="1" applyBorder="1" applyAlignment="1" applyProtection="1">
      <alignment vertical="center"/>
      <protection locked="0"/>
    </xf>
    <xf numFmtId="0" fontId="17" fillId="0" borderId="0" xfId="166" applyFont="1" applyFill="1" applyBorder="1" applyAlignment="1">
      <alignment horizontal="left" vertical="center" shrinkToFit="1"/>
    </xf>
    <xf numFmtId="182" fontId="17" fillId="5" borderId="0" xfId="166" applyNumberFormat="1" applyFont="1" applyFill="1" applyBorder="1" applyAlignment="1">
      <alignment horizontal="center" vertical="center" shrinkToFit="1"/>
    </xf>
    <xf numFmtId="182" fontId="17" fillId="5" borderId="0" xfId="166" applyNumberFormat="1" applyFont="1" applyFill="1" applyBorder="1" applyAlignment="1">
      <alignment horizontal="right" vertical="center" shrinkToFit="1"/>
    </xf>
    <xf numFmtId="181" fontId="17" fillId="5" borderId="0" xfId="166" applyNumberFormat="1" applyFont="1" applyFill="1" applyBorder="1" applyAlignment="1">
      <alignment vertical="center" shrinkToFit="1"/>
    </xf>
    <xf numFmtId="181" fontId="17" fillId="5" borderId="0" xfId="166" applyNumberFormat="1" applyFont="1" applyFill="1" applyBorder="1" applyAlignment="1">
      <alignment horizontal="right" vertical="center" shrinkToFit="1"/>
    </xf>
    <xf numFmtId="1" fontId="17" fillId="6" borderId="0" xfId="166" applyNumberFormat="1" applyFont="1" applyFill="1" applyBorder="1" applyAlignment="1">
      <alignment horizontal="left" vertical="center"/>
    </xf>
    <xf numFmtId="0" fontId="17" fillId="0" borderId="0" xfId="166" applyFont="1" applyBorder="1"/>
    <xf numFmtId="0" fontId="17" fillId="0" borderId="0" xfId="166" applyFont="1" applyBorder="1" applyAlignment="1">
      <alignment horizontal="center"/>
    </xf>
    <xf numFmtId="49" fontId="17" fillId="0" borderId="0" xfId="166" applyNumberFormat="1" applyFont="1" applyBorder="1" applyAlignment="1" applyProtection="1">
      <alignment horizontal="left" vertical="center"/>
      <protection locked="0"/>
    </xf>
    <xf numFmtId="0" fontId="22" fillId="0" borderId="0" xfId="166" applyFont="1" applyBorder="1" applyAlignment="1" applyProtection="1">
      <alignment horizontal="left" vertical="center"/>
      <protection locked="0"/>
    </xf>
    <xf numFmtId="0" fontId="22" fillId="0" borderId="0" xfId="166" applyFont="1" applyBorder="1" applyAlignment="1" applyProtection="1">
      <alignment horizontal="center" vertical="center"/>
      <protection locked="0"/>
    </xf>
    <xf numFmtId="1" fontId="17" fillId="0" borderId="0" xfId="166" applyNumberFormat="1" applyFont="1" applyBorder="1" applyAlignment="1" applyProtection="1">
      <alignment vertical="center"/>
      <protection locked="0"/>
    </xf>
    <xf numFmtId="0" fontId="23" fillId="0" borderId="0" xfId="166" applyFont="1" applyBorder="1" applyAlignment="1" applyProtection="1">
      <alignment horizontal="left" vertical="center"/>
      <protection locked="0"/>
    </xf>
    <xf numFmtId="2" fontId="17" fillId="0" borderId="0" xfId="0" applyNumberFormat="1" applyFont="1" applyFill="1" applyAlignment="1">
      <alignment horizontal="center" vertical="center"/>
    </xf>
    <xf numFmtId="2" fontId="24" fillId="0" borderId="0" xfId="0" applyNumberFormat="1" applyFont="1" applyFill="1" applyAlignment="1">
      <alignment horizontal="center" vertical="center"/>
    </xf>
    <xf numFmtId="0" fontId="25" fillId="0" borderId="0" xfId="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26" fillId="0" borderId="0" xfId="0" applyFont="1" applyFill="1" applyAlignment="1">
      <alignment horizontal="center" vertical="center"/>
    </xf>
    <xf numFmtId="0" fontId="26" fillId="0" borderId="0" xfId="0" applyFont="1" applyFill="1" applyAlignment="1">
      <alignment horizontal="center" vertical="center" wrapText="1"/>
    </xf>
    <xf numFmtId="0" fontId="17" fillId="0" borderId="0" xfId="0" applyFont="1" applyFill="1" applyBorder="1" applyAlignment="1">
      <alignment horizontal="left" vertical="center"/>
    </xf>
    <xf numFmtId="0" fontId="17" fillId="0" borderId="0" xfId="0" applyFont="1" applyFill="1" applyBorder="1" applyAlignment="1">
      <alignment vertical="center" wrapText="1"/>
    </xf>
    <xf numFmtId="0" fontId="17" fillId="0" borderId="0" xfId="0" applyFont="1" applyFill="1" applyBorder="1" applyAlignment="1">
      <alignment horizontal="center" vertical="center"/>
    </xf>
    <xf numFmtId="182" fontId="24" fillId="0" borderId="2" xfId="0" applyNumberFormat="1"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182" fontId="17" fillId="0" borderId="2" xfId="0" applyNumberFormat="1" applyFont="1" applyFill="1" applyBorder="1" applyAlignment="1">
      <alignment horizontal="center" vertical="center"/>
    </xf>
    <xf numFmtId="0" fontId="24" fillId="0" borderId="2" xfId="0" applyFont="1" applyFill="1" applyBorder="1" applyAlignment="1">
      <alignment vertical="center" wrapText="1" shrinkToFit="1"/>
    </xf>
    <xf numFmtId="188" fontId="24" fillId="0" borderId="2" xfId="0" applyNumberFormat="1" applyFont="1" applyFill="1" applyBorder="1" applyAlignment="1">
      <alignment horizontal="center" vertical="center" shrinkToFit="1"/>
    </xf>
    <xf numFmtId="2" fontId="12" fillId="0" borderId="3" xfId="0" applyNumberFormat="1" applyFont="1" applyFill="1" applyBorder="1" applyAlignment="1">
      <alignment horizontal="center" vertical="center"/>
    </xf>
    <xf numFmtId="0" fontId="9" fillId="0" borderId="2" xfId="314" applyFont="1" applyFill="1" applyBorder="1" applyAlignment="1">
      <alignment horizontal="left" vertical="center" wrapText="1"/>
    </xf>
    <xf numFmtId="2" fontId="9" fillId="0" borderId="2" xfId="314" applyNumberFormat="1" applyFont="1" applyFill="1" applyBorder="1" applyAlignment="1">
      <alignment horizontal="center" vertical="center"/>
    </xf>
    <xf numFmtId="2" fontId="9" fillId="0" borderId="3" xfId="314" applyNumberFormat="1" applyFont="1" applyFill="1" applyBorder="1" applyAlignment="1">
      <alignment horizontal="center" vertical="center"/>
    </xf>
    <xf numFmtId="2" fontId="9" fillId="0" borderId="3" xfId="0" applyNumberFormat="1" applyFont="1" applyFill="1" applyBorder="1" applyAlignment="1">
      <alignment horizontal="center" vertical="center"/>
    </xf>
    <xf numFmtId="2" fontId="12" fillId="0" borderId="3" xfId="314" applyNumberFormat="1" applyFont="1" applyFill="1" applyBorder="1" applyAlignment="1">
      <alignment horizontal="center" vertical="center"/>
    </xf>
    <xf numFmtId="49" fontId="27" fillId="0" borderId="2" xfId="136" applyNumberFormat="1" applyFont="1" applyFill="1" applyBorder="1" applyAlignment="1">
      <alignment horizontal="center" vertical="center"/>
    </xf>
    <xf numFmtId="188" fontId="17" fillId="0" borderId="2" xfId="0" applyNumberFormat="1" applyFont="1" applyFill="1" applyBorder="1" applyAlignment="1">
      <alignment horizontal="center" vertical="center"/>
    </xf>
    <xf numFmtId="0" fontId="24" fillId="0" borderId="2" xfId="0" applyFont="1" applyFill="1" applyBorder="1" applyAlignment="1">
      <alignment vertical="center" wrapText="1"/>
    </xf>
    <xf numFmtId="188" fontId="12" fillId="0" borderId="2" xfId="0" applyNumberFormat="1" applyFont="1" applyFill="1" applyBorder="1" applyAlignment="1">
      <alignment horizontal="center" vertical="center"/>
    </xf>
    <xf numFmtId="0" fontId="17" fillId="0" borderId="2" xfId="0" applyFont="1" applyFill="1" applyBorder="1" applyAlignment="1">
      <alignment vertical="center" wrapText="1"/>
    </xf>
    <xf numFmtId="188" fontId="17" fillId="0" borderId="2" xfId="313" applyNumberFormat="1" applyFont="1" applyFill="1" applyBorder="1" applyAlignment="1">
      <alignment horizontal="center" vertical="center"/>
    </xf>
    <xf numFmtId="2" fontId="9" fillId="0" borderId="2" xfId="0" applyNumberFormat="1" applyFont="1" applyFill="1" applyBorder="1" applyAlignment="1">
      <alignment horizontal="center" vertical="center" shrinkToFit="1"/>
    </xf>
    <xf numFmtId="178" fontId="17" fillId="0" borderId="2" xfId="0" applyNumberFormat="1" applyFont="1" applyFill="1" applyBorder="1" applyAlignment="1">
      <alignment horizontal="center" vertical="center"/>
    </xf>
    <xf numFmtId="188" fontId="24" fillId="0" borderId="2" xfId="0" applyNumberFormat="1" applyFont="1" applyFill="1" applyBorder="1" applyAlignment="1">
      <alignment horizontal="center" vertical="center"/>
    </xf>
    <xf numFmtId="188" fontId="17" fillId="0" borderId="2" xfId="55" applyNumberFormat="1" applyFont="1" applyFill="1" applyBorder="1" applyAlignment="1">
      <alignment horizontal="center" vertical="center"/>
    </xf>
    <xf numFmtId="182" fontId="24" fillId="0" borderId="2" xfId="0" applyNumberFormat="1" applyFont="1" applyFill="1" applyBorder="1" applyAlignment="1">
      <alignment horizontal="center" vertical="center" shrinkToFit="1"/>
    </xf>
    <xf numFmtId="188" fontId="25" fillId="0" borderId="0" xfId="0" applyNumberFormat="1" applyFont="1" applyFill="1" applyAlignment="1">
      <alignment horizontal="center" vertical="center"/>
    </xf>
    <xf numFmtId="188" fontId="25" fillId="0" borderId="0" xfId="0" applyNumberFormat="1" applyFont="1" applyFill="1" applyAlignment="1">
      <alignment vertical="center" wrapText="1"/>
    </xf>
    <xf numFmtId="0" fontId="25" fillId="0" borderId="0" xfId="0" applyFont="1" applyFill="1" applyBorder="1" applyAlignment="1">
      <alignment horizontal="center" vertical="center"/>
    </xf>
    <xf numFmtId="0" fontId="17" fillId="0" borderId="0" xfId="0" applyFont="1" applyFill="1" applyAlignment="1">
      <alignment horizontal="center" vertical="center"/>
    </xf>
    <xf numFmtId="188" fontId="28" fillId="0" borderId="0" xfId="0" applyNumberFormat="1" applyFont="1" applyFill="1" applyAlignment="1">
      <alignment vertical="center" wrapText="1" shrinkToFit="1"/>
    </xf>
    <xf numFmtId="0" fontId="28" fillId="0" borderId="0" xfId="0" applyFont="1" applyFill="1" applyAlignment="1">
      <alignment horizontal="center" vertical="center" shrinkToFit="1"/>
    </xf>
    <xf numFmtId="188" fontId="28" fillId="0" borderId="0" xfId="0" applyNumberFormat="1" applyFont="1" applyFill="1" applyAlignment="1">
      <alignment horizontal="center" vertical="center" shrinkToFit="1"/>
    </xf>
    <xf numFmtId="0" fontId="28" fillId="0" borderId="0" xfId="0" applyFont="1" applyFill="1" applyBorder="1" applyAlignment="1">
      <alignment horizontal="center" vertical="center" shrinkToFit="1"/>
    </xf>
    <xf numFmtId="0" fontId="17" fillId="0" borderId="0" xfId="0" applyFont="1" applyFill="1" applyAlignment="1">
      <alignment vertical="center" wrapText="1"/>
    </xf>
    <xf numFmtId="188" fontId="17" fillId="0" borderId="0" xfId="0" applyNumberFormat="1" applyFont="1" applyFill="1" applyAlignment="1">
      <alignment horizontal="center" vertical="center"/>
    </xf>
    <xf numFmtId="188" fontId="17" fillId="0" borderId="0" xfId="0" applyNumberFormat="1" applyFont="1" applyFill="1" applyAlignment="1">
      <alignment vertical="center" wrapText="1"/>
    </xf>
    <xf numFmtId="188" fontId="1" fillId="0" borderId="0" xfId="0" applyNumberFormat="1" applyFont="1" applyFill="1" applyAlignment="1">
      <alignment horizontal="center" vertical="center"/>
    </xf>
    <xf numFmtId="188" fontId="29" fillId="0" borderId="0" xfId="0" applyNumberFormat="1" applyFont="1" applyFill="1" applyAlignment="1">
      <alignment horizontal="center" vertical="center"/>
    </xf>
    <xf numFmtId="0" fontId="29" fillId="0" borderId="0" xfId="0" applyFont="1" applyFill="1" applyAlignment="1">
      <alignment horizontal="center" vertical="center"/>
    </xf>
    <xf numFmtId="0" fontId="0" fillId="0" borderId="0" xfId="0" applyFill="1" applyAlignment="1">
      <alignment horizontal="center" vertical="center" wrapText="1"/>
    </xf>
    <xf numFmtId="0" fontId="17" fillId="0" borderId="0" xfId="0" applyFont="1" applyFill="1" applyBorder="1" applyAlignment="1">
      <alignment horizontal="center" vertical="center" wrapText="1"/>
    </xf>
    <xf numFmtId="2" fontId="17" fillId="0" borderId="0" xfId="0" applyNumberFormat="1" applyFont="1" applyFill="1" applyAlignment="1">
      <alignment horizontal="center" vertical="center" wrapText="1"/>
    </xf>
    <xf numFmtId="2" fontId="9" fillId="0" borderId="2" xfId="0" applyNumberFormat="1"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2" fontId="12"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shrinkToFit="1"/>
    </xf>
    <xf numFmtId="2" fontId="12" fillId="0" borderId="2" xfId="0" applyNumberFormat="1" applyFont="1" applyFill="1" applyBorder="1" applyAlignment="1">
      <alignment horizontal="center" vertical="center" wrapText="1" shrinkToFit="1"/>
    </xf>
    <xf numFmtId="2" fontId="9" fillId="0" borderId="2" xfId="0" applyNumberFormat="1" applyFont="1" applyFill="1" applyBorder="1" applyAlignment="1">
      <alignment horizontal="center" vertical="center" wrapText="1"/>
    </xf>
    <xf numFmtId="1" fontId="17" fillId="0" borderId="2" xfId="0" applyNumberFormat="1" applyFont="1" applyFill="1" applyBorder="1" applyAlignment="1">
      <alignment horizontal="center" vertical="center" wrapText="1"/>
    </xf>
    <xf numFmtId="2" fontId="9" fillId="0" borderId="2" xfId="136" applyNumberFormat="1" applyFont="1" applyFill="1" applyBorder="1" applyAlignment="1">
      <alignment horizontal="center" vertical="center" wrapText="1"/>
    </xf>
    <xf numFmtId="1" fontId="17" fillId="0" borderId="2" xfId="136"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1" fontId="9" fillId="0" borderId="2" xfId="136" applyNumberFormat="1" applyFont="1" applyFill="1" applyBorder="1" applyAlignment="1">
      <alignment horizontal="center" vertical="center" wrapText="1"/>
    </xf>
    <xf numFmtId="1" fontId="17" fillId="0" borderId="2" xfId="0" applyNumberFormat="1" applyFont="1" applyFill="1" applyBorder="1" applyAlignment="1">
      <alignment horizontal="center" vertical="center" wrapText="1" shrinkToFit="1"/>
    </xf>
    <xf numFmtId="0" fontId="17" fillId="0" borderId="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25" fillId="0" borderId="0" xfId="0" applyFont="1" applyFill="1" applyAlignment="1">
      <alignment horizontal="center" vertical="center" wrapText="1"/>
    </xf>
    <xf numFmtId="0" fontId="25" fillId="0" borderId="0" xfId="0" applyFont="1" applyFill="1" applyBorder="1" applyAlignment="1">
      <alignment horizontal="center" vertical="center" wrapText="1"/>
    </xf>
    <xf numFmtId="0" fontId="28" fillId="0" borderId="0" xfId="0" applyFont="1" applyFill="1" applyAlignment="1">
      <alignment horizontal="center" vertical="center" wrapText="1" shrinkToFit="1"/>
    </xf>
    <xf numFmtId="10" fontId="29" fillId="0" borderId="0" xfId="19" applyNumberFormat="1" applyFont="1" applyFill="1" applyAlignment="1">
      <alignment horizontal="center" vertical="center" wrapText="1"/>
    </xf>
    <xf numFmtId="0" fontId="17" fillId="0" borderId="0" xfId="0" applyFont="1" applyFill="1" applyAlignment="1">
      <alignment horizontal="left" vertical="center" wrapText="1"/>
    </xf>
    <xf numFmtId="188" fontId="17" fillId="0" borderId="0" xfId="0" applyNumberFormat="1" applyFont="1" applyFill="1" applyAlignment="1">
      <alignment horizontal="center" vertical="center" wrapText="1"/>
    </xf>
    <xf numFmtId="0" fontId="29" fillId="0" borderId="0" xfId="0" applyFont="1" applyFill="1" applyAlignment="1">
      <alignment horizontal="center" vertical="center" wrapText="1"/>
    </xf>
    <xf numFmtId="0" fontId="17" fillId="0" borderId="0" xfId="0" applyFont="1" applyFill="1" applyAlignment="1">
      <alignment horizontal="center" vertical="center" wrapText="1"/>
    </xf>
    <xf numFmtId="0" fontId="0" fillId="0" borderId="0" xfId="0" applyFill="1" applyAlignment="1">
      <alignment horizontal="left" vertical="center"/>
    </xf>
    <xf numFmtId="2" fontId="17" fillId="0" borderId="0" xfId="0" applyNumberFormat="1" applyFont="1" applyFill="1" applyAlignment="1">
      <alignment horizontal="left" vertical="center"/>
    </xf>
    <xf numFmtId="2" fontId="24" fillId="0" borderId="2" xfId="0" applyNumberFormat="1" applyFont="1" applyFill="1" applyBorder="1" applyAlignment="1">
      <alignment horizontal="center" vertical="center"/>
    </xf>
    <xf numFmtId="180" fontId="9" fillId="0" borderId="2" xfId="0" applyNumberFormat="1" applyFont="1" applyFill="1" applyBorder="1" applyAlignment="1">
      <alignment horizontal="center" vertical="center" wrapText="1" shrinkToFit="1"/>
    </xf>
    <xf numFmtId="2" fontId="17" fillId="0" borderId="2" xfId="0" applyNumberFormat="1" applyFont="1" applyFill="1" applyBorder="1" applyAlignment="1">
      <alignment horizontal="left" vertical="center" shrinkToFit="1"/>
    </xf>
    <xf numFmtId="2" fontId="24" fillId="0" borderId="0" xfId="0" applyNumberFormat="1" applyFont="1" applyFill="1" applyAlignment="1">
      <alignment vertical="center"/>
    </xf>
    <xf numFmtId="2" fontId="24" fillId="0" borderId="2" xfId="0" applyNumberFormat="1" applyFont="1" applyFill="1" applyBorder="1" applyAlignment="1">
      <alignment horizontal="left" vertical="center" shrinkToFit="1"/>
    </xf>
    <xf numFmtId="2" fontId="12" fillId="0" borderId="0" xfId="0" applyNumberFormat="1" applyFont="1" applyFill="1" applyAlignment="1">
      <alignment horizontal="center" vertical="center"/>
    </xf>
    <xf numFmtId="2" fontId="17" fillId="0" borderId="2" xfId="0" applyNumberFormat="1" applyFont="1" applyFill="1" applyBorder="1" applyAlignment="1">
      <alignment horizontal="left" vertical="center" wrapText="1" shrinkToFit="1"/>
    </xf>
    <xf numFmtId="2" fontId="17" fillId="0" borderId="0" xfId="0" applyNumberFormat="1" applyFont="1" applyFill="1" applyAlignment="1">
      <alignment horizontal="center" vertical="center" shrinkToFit="1"/>
    </xf>
    <xf numFmtId="2" fontId="17" fillId="0" borderId="2" xfId="136" applyNumberFormat="1" applyFont="1" applyFill="1" applyBorder="1" applyAlignment="1">
      <alignment horizontal="left" vertical="center" shrinkToFit="1"/>
    </xf>
    <xf numFmtId="2" fontId="9" fillId="0" borderId="0" xfId="0" applyNumberFormat="1" applyFont="1" applyFill="1" applyAlignment="1">
      <alignment horizontal="center" vertical="center"/>
    </xf>
    <xf numFmtId="2" fontId="9" fillId="0" borderId="2" xfId="0" applyNumberFormat="1" applyFont="1" applyFill="1" applyBorder="1" applyAlignment="1">
      <alignment horizontal="left" vertical="center" shrinkToFit="1"/>
    </xf>
    <xf numFmtId="2" fontId="9" fillId="0" borderId="2" xfId="0" applyNumberFormat="1" applyFont="1" applyFill="1" applyBorder="1" applyAlignment="1">
      <alignment horizontal="left" vertical="center"/>
    </xf>
    <xf numFmtId="0" fontId="17" fillId="0" borderId="0" xfId="0" applyFont="1" applyFill="1" applyAlignment="1">
      <alignment vertical="center"/>
    </xf>
    <xf numFmtId="10" fontId="17" fillId="0" borderId="0" xfId="19" applyNumberFormat="1" applyFont="1" applyFill="1" applyAlignment="1">
      <alignment horizontal="center" vertical="center"/>
    </xf>
    <xf numFmtId="9" fontId="17" fillId="0" borderId="0" xfId="19" applyNumberFormat="1" applyFont="1" applyFill="1" applyAlignment="1">
      <alignment horizontal="center" vertical="center"/>
    </xf>
    <xf numFmtId="9" fontId="17" fillId="0" borderId="0" xfId="19" applyFont="1" applyFill="1" applyAlignment="1">
      <alignment horizontal="center" vertical="center"/>
    </xf>
    <xf numFmtId="2" fontId="17" fillId="0" borderId="0" xfId="0" applyNumberFormat="1" applyFont="1" applyFill="1" applyAlignment="1">
      <alignment vertical="center"/>
    </xf>
    <xf numFmtId="9" fontId="1" fillId="0" borderId="0" xfId="19" applyFont="1" applyFill="1" applyAlignment="1">
      <alignment horizontal="center" vertical="center"/>
    </xf>
    <xf numFmtId="0" fontId="25" fillId="0" borderId="0" xfId="0" applyFont="1" applyFill="1" applyAlignment="1">
      <alignment horizontal="left" vertical="center"/>
    </xf>
    <xf numFmtId="0" fontId="30" fillId="0" borderId="9" xfId="0" applyFont="1" applyFill="1" applyBorder="1" applyAlignment="1">
      <alignment horizontal="center" vertical="center"/>
    </xf>
    <xf numFmtId="0" fontId="30" fillId="0" borderId="10"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12" xfId="0" applyFont="1" applyFill="1" applyBorder="1" applyAlignment="1">
      <alignment horizontal="center" vertical="center"/>
    </xf>
    <xf numFmtId="0" fontId="17" fillId="0" borderId="0" xfId="0" applyFont="1" applyFill="1" applyAlignment="1">
      <alignment horizontal="left" vertical="center"/>
    </xf>
    <xf numFmtId="1" fontId="17" fillId="0" borderId="0" xfId="0" applyNumberFormat="1" applyFont="1" applyFill="1" applyAlignment="1">
      <alignment horizontal="center" vertical="center"/>
    </xf>
    <xf numFmtId="188" fontId="15" fillId="0" borderId="12" xfId="0" applyNumberFormat="1" applyFont="1" applyFill="1" applyBorder="1" applyAlignment="1">
      <alignment horizontal="center" vertical="center"/>
    </xf>
    <xf numFmtId="184" fontId="15" fillId="0" borderId="12" xfId="0" applyNumberFormat="1" applyFont="1" applyFill="1" applyBorder="1" applyAlignment="1">
      <alignment horizontal="center" vertical="center"/>
    </xf>
    <xf numFmtId="188" fontId="29" fillId="0" borderId="0" xfId="0" applyNumberFormat="1" applyFont="1" applyFill="1" applyAlignment="1">
      <alignment vertical="center" wrapText="1"/>
    </xf>
    <xf numFmtId="2" fontId="29" fillId="0" borderId="0" xfId="0" applyNumberFormat="1" applyFont="1" applyFill="1" applyAlignment="1">
      <alignment horizontal="center" vertical="center"/>
    </xf>
    <xf numFmtId="180" fontId="17" fillId="0" borderId="0" xfId="0" applyNumberFormat="1" applyFont="1" applyFill="1" applyAlignment="1">
      <alignment horizontal="center" vertical="center"/>
    </xf>
    <xf numFmtId="0" fontId="1" fillId="0" borderId="2" xfId="0" applyFont="1" applyFill="1" applyBorder="1" applyAlignment="1">
      <alignment vertical="center" wrapText="1"/>
    </xf>
    <xf numFmtId="188" fontId="1" fillId="0" borderId="2" xfId="0" applyNumberFormat="1" applyFont="1" applyFill="1" applyBorder="1" applyAlignment="1">
      <alignment horizontal="center" vertical="center" shrinkToFit="1"/>
    </xf>
    <xf numFmtId="0" fontId="1" fillId="0" borderId="2" xfId="0" applyFont="1" applyFill="1" applyBorder="1" applyAlignment="1">
      <alignment horizontal="center" vertical="center" shrinkToFit="1"/>
    </xf>
    <xf numFmtId="2" fontId="1" fillId="0" borderId="2" xfId="0" applyNumberFormat="1" applyFont="1" applyFill="1" applyBorder="1" applyAlignment="1">
      <alignment horizontal="center" vertical="center"/>
    </xf>
    <xf numFmtId="10" fontId="1" fillId="0" borderId="2" xfId="19" applyNumberFormat="1" applyFont="1" applyFill="1" applyBorder="1" applyAlignment="1">
      <alignment horizontal="center" vertical="center"/>
    </xf>
    <xf numFmtId="2" fontId="1" fillId="0" borderId="2" xfId="313" applyNumberFormat="1" applyFont="1" applyFill="1" applyBorder="1" applyAlignment="1">
      <alignment horizontal="center" vertical="center"/>
    </xf>
    <xf numFmtId="188" fontId="1" fillId="0" borderId="2" xfId="0" applyNumberFormat="1" applyFont="1" applyFill="1" applyBorder="1" applyAlignment="1">
      <alignment horizontal="center" vertical="center"/>
    </xf>
    <xf numFmtId="2" fontId="1" fillId="0" borderId="2" xfId="0" applyNumberFormat="1" applyFont="1" applyFill="1" applyBorder="1" applyAlignment="1">
      <alignment vertical="center"/>
    </xf>
    <xf numFmtId="188" fontId="1" fillId="0" borderId="0" xfId="0" applyNumberFormat="1" applyFont="1" applyFill="1" applyAlignment="1">
      <alignment vertical="center" wrapText="1"/>
    </xf>
    <xf numFmtId="188" fontId="1" fillId="0" borderId="0" xfId="0" applyNumberFormat="1" applyFont="1" applyFill="1" applyBorder="1" applyAlignment="1">
      <alignment horizontal="center" vertical="center"/>
    </xf>
    <xf numFmtId="0" fontId="24" fillId="0" borderId="2" xfId="314" applyFont="1" applyFill="1" applyBorder="1" applyAlignment="1">
      <alignment vertical="center" wrapText="1"/>
    </xf>
    <xf numFmtId="0" fontId="1" fillId="0" borderId="2" xfId="0" applyFont="1" applyFill="1" applyBorder="1" applyAlignment="1">
      <alignment horizontal="center" vertical="center"/>
    </xf>
    <xf numFmtId="188" fontId="9" fillId="0" borderId="2" xfId="0" applyNumberFormat="1" applyFont="1" applyFill="1" applyBorder="1" applyAlignment="1">
      <alignment horizontal="center" vertical="center"/>
    </xf>
    <xf numFmtId="2" fontId="29" fillId="0" borderId="0" xfId="0" applyNumberFormat="1" applyFont="1" applyFill="1" applyAlignment="1">
      <alignment horizontal="center" vertical="center" wrapText="1"/>
    </xf>
    <xf numFmtId="181" fontId="17" fillId="0" borderId="0" xfId="0" applyNumberFormat="1" applyFont="1" applyFill="1" applyAlignment="1">
      <alignment horizontal="left" vertical="center" wrapText="1"/>
    </xf>
    <xf numFmtId="180" fontId="29" fillId="0" borderId="0" xfId="19" applyNumberFormat="1" applyFont="1" applyFill="1" applyAlignment="1">
      <alignment horizontal="center" vertical="center" wrapText="1"/>
    </xf>
    <xf numFmtId="0" fontId="1" fillId="0" borderId="2" xfId="0" applyFont="1" applyFill="1" applyBorder="1" applyAlignment="1">
      <alignment horizontal="center" vertical="center" wrapText="1" shrinkToFit="1"/>
    </xf>
    <xf numFmtId="2" fontId="1" fillId="0" borderId="2" xfId="0" applyNumberFormat="1" applyFont="1" applyFill="1" applyBorder="1" applyAlignment="1">
      <alignment horizontal="center" vertical="center" wrapText="1"/>
    </xf>
    <xf numFmtId="10" fontId="1" fillId="0" borderId="2" xfId="19" applyNumberFormat="1" applyFont="1" applyFill="1" applyBorder="1" applyAlignment="1">
      <alignment horizontal="center" vertical="center" wrapText="1"/>
    </xf>
    <xf numFmtId="2" fontId="1" fillId="0" borderId="2" xfId="313" applyNumberFormat="1" applyFont="1" applyFill="1" applyBorder="1" applyAlignment="1">
      <alignment horizontal="center" vertical="center" wrapText="1"/>
    </xf>
    <xf numFmtId="2" fontId="1" fillId="0" borderId="2" xfId="0" applyNumberFormat="1" applyFont="1" applyFill="1" applyBorder="1" applyAlignment="1">
      <alignment vertical="center" wrapText="1"/>
    </xf>
    <xf numFmtId="188" fontId="1" fillId="0" borderId="0" xfId="0" applyNumberFormat="1" applyFont="1" applyFill="1" applyBorder="1" applyAlignment="1">
      <alignment horizontal="center" vertical="center" wrapText="1"/>
    </xf>
    <xf numFmtId="2" fontId="17"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10" fontId="9" fillId="0" borderId="2" xfId="19" applyNumberFormat="1" applyFont="1" applyFill="1" applyBorder="1" applyAlignment="1">
      <alignment horizontal="center" vertical="center" wrapText="1"/>
    </xf>
    <xf numFmtId="0" fontId="1" fillId="0" borderId="2" xfId="0" applyFont="1" applyFill="1" applyBorder="1" applyAlignment="1">
      <alignment horizontal="left" vertical="center" shrinkToFit="1"/>
    </xf>
    <xf numFmtId="2" fontId="1" fillId="0" borderId="2" xfId="0" applyNumberFormat="1" applyFont="1" applyFill="1" applyBorder="1" applyAlignment="1">
      <alignment horizontal="left" vertical="center"/>
    </xf>
    <xf numFmtId="10" fontId="1" fillId="0" borderId="2" xfId="19" applyNumberFormat="1" applyFont="1" applyFill="1" applyBorder="1" applyAlignment="1">
      <alignment horizontal="left" vertical="center"/>
    </xf>
    <xf numFmtId="2" fontId="1" fillId="0" borderId="2" xfId="313" applyNumberFormat="1" applyFont="1" applyFill="1" applyBorder="1" applyAlignment="1">
      <alignment horizontal="left" vertical="center"/>
    </xf>
    <xf numFmtId="188" fontId="1" fillId="0" borderId="0" xfId="0" applyNumberFormat="1" applyFont="1" applyFill="1" applyBorder="1" applyAlignment="1">
      <alignment horizontal="left" vertical="center"/>
    </xf>
    <xf numFmtId="10" fontId="9" fillId="0" borderId="0" xfId="19" applyNumberFormat="1" applyFont="1" applyFill="1" applyAlignment="1">
      <alignment horizontal="center" vertical="center" wrapText="1"/>
    </xf>
    <xf numFmtId="2" fontId="1" fillId="0" borderId="0" xfId="0" applyNumberFormat="1" applyFont="1" applyFill="1" applyAlignment="1">
      <alignment horizontal="center" vertical="center" wrapText="1"/>
    </xf>
    <xf numFmtId="180" fontId="31" fillId="0" borderId="2" xfId="0" applyNumberFormat="1" applyFont="1" applyFill="1" applyBorder="1" applyAlignment="1">
      <alignment vertical="center" wrapText="1"/>
    </xf>
    <xf numFmtId="180" fontId="1" fillId="0" borderId="2" xfId="0" applyNumberFormat="1" applyFont="1" applyFill="1" applyBorder="1" applyAlignment="1">
      <alignment horizontal="center" vertical="center"/>
    </xf>
    <xf numFmtId="0" fontId="17" fillId="0" borderId="0" xfId="0" applyFont="1" applyFill="1" applyBorder="1" applyAlignment="1" quotePrefix="1">
      <alignment horizontal="left" vertical="center"/>
    </xf>
    <xf numFmtId="0" fontId="24" fillId="0" borderId="2" xfId="0" applyFont="1" applyFill="1" applyBorder="1" applyAlignment="1" quotePrefix="1">
      <alignment vertical="center" wrapText="1" shrinkToFit="1"/>
    </xf>
    <xf numFmtId="0" fontId="17" fillId="0" borderId="2" xfId="0" applyFont="1" applyFill="1" applyBorder="1" applyAlignment="1" quotePrefix="1">
      <alignment vertical="center" wrapText="1"/>
    </xf>
    <xf numFmtId="0" fontId="24" fillId="0" borderId="2" xfId="0" applyFont="1" applyFill="1" applyBorder="1" applyAlignment="1" quotePrefix="1">
      <alignment vertical="center" wrapText="1"/>
    </xf>
    <xf numFmtId="0" fontId="21" fillId="0" borderId="0" xfId="166" applyFont="1" applyAlignment="1" applyProtection="1" quotePrefix="1">
      <alignment horizontal="center" vertical="center"/>
      <protection locked="0"/>
    </xf>
    <xf numFmtId="49" fontId="17" fillId="0" borderId="14" xfId="166" applyNumberFormat="1" applyFont="1" applyBorder="1" applyAlignment="1" applyProtection="1" quotePrefix="1">
      <alignment horizontal="center" vertical="center"/>
      <protection locked="0"/>
    </xf>
    <xf numFmtId="0" fontId="17" fillId="0" borderId="15" xfId="166" applyFont="1" applyBorder="1" applyAlignment="1" applyProtection="1" quotePrefix="1">
      <alignment horizontal="center" vertical="center"/>
      <protection locked="0"/>
    </xf>
  </cellXfs>
  <cellStyles count="360">
    <cellStyle name="常规" xfId="0" builtinId="0"/>
    <cellStyle name="货币[0]" xfId="1" builtinId="7"/>
    <cellStyle name="20% - 强调文字颜色 3" xfId="2" builtinId="38"/>
    <cellStyle name="_宁波化工区工业水厂异地迁建工程(QQ）" xfId="3"/>
    <cellStyle name="输入" xfId="4" builtinId="20"/>
    <cellStyle name="货币" xfId="5" builtinId="4"/>
    <cellStyle name="_概算0710" xfId="6"/>
    <cellStyle name="_副本南泉原水厂估算20100304" xfId="7"/>
    <cellStyle name="千位分隔[0]" xfId="8" builtinId="6"/>
    <cellStyle name="_经十八路景观" xfId="9"/>
    <cellStyle name="40% - 强调文字颜色 3" xfId="10" builtinId="39"/>
    <cellStyle name="计算 2" xfId="11"/>
    <cellStyle name="Comma [0]_8万吨调整" xfId="12"/>
    <cellStyle name="_丹阳水厂自仪初设20100223" xfId="13"/>
    <cellStyle name="差" xfId="14" builtinId="27"/>
    <cellStyle name="千位分隔" xfId="15" builtinId="3"/>
    <cellStyle name="60% - 强调文字颜色 3" xfId="16" builtinId="40"/>
    <cellStyle name="Currency_8万吨调整" xfId="17"/>
    <cellStyle name="超链接" xfId="18" builtinId="8"/>
    <cellStyle name="百分比" xfId="19" builtinId="5"/>
    <cellStyle name="_丹阳管线计算" xfId="20"/>
    <cellStyle name="已访问的超链接" xfId="21" builtinId="9"/>
    <cellStyle name="注释" xfId="22" builtinId="10"/>
    <cellStyle name="常规 6" xfId="23"/>
    <cellStyle name="60% - 强调文字颜色 2" xfId="24" builtinId="36"/>
    <cellStyle name="计算 2 9" xfId="25"/>
    <cellStyle name="标题 4" xfId="26" builtinId="19"/>
    <cellStyle name="警告文本" xfId="27" builtinId="11"/>
    <cellStyle name="标题" xfId="28" builtinId="15"/>
    <cellStyle name="常规 5 2" xfId="29"/>
    <cellStyle name="_概算090721" xfId="30"/>
    <cellStyle name="计算 2 10" xfId="31"/>
    <cellStyle name="_ET_STYLE_NoName_00_" xfId="32"/>
    <cellStyle name="千位分隔 3 2" xfId="33"/>
    <cellStyle name="解释性文本" xfId="34" builtinId="53"/>
    <cellStyle name="百分比 4" xfId="35"/>
    <cellStyle name="标题 1" xfId="36" builtinId="16"/>
    <cellStyle name="0,0_x000d__x000a_NA_x000d__x000a_" xfId="37"/>
    <cellStyle name="百分比 5" xfId="38"/>
    <cellStyle name="标题 2" xfId="39" builtinId="17"/>
    <cellStyle name="差_6条路初设电气工程量" xfId="40"/>
    <cellStyle name="计算 2 8" xfId="41"/>
    <cellStyle name="60% - 强调文字颜色 1" xfId="42" builtinId="32"/>
    <cellStyle name="标题 3" xfId="43" builtinId="18"/>
    <cellStyle name="差_南昌沉北水厂电气设备20081114" xfId="44"/>
    <cellStyle name="60% - 强调文字颜色 4" xfId="45" builtinId="44"/>
    <cellStyle name="输出" xfId="46" builtinId="21"/>
    <cellStyle name="计算" xfId="47" builtinId="22"/>
    <cellStyle name="40% - 强调文字颜色 4 2" xfId="48"/>
    <cellStyle name="检查单元格" xfId="49" builtinId="23"/>
    <cellStyle name="20% - 强调文字颜色 6" xfId="50" builtinId="50"/>
    <cellStyle name="强调文字颜色 2" xfId="51" builtinId="33"/>
    <cellStyle name="注释 2 3" xfId="52"/>
    <cellStyle name="链接单元格" xfId="53" builtinId="24"/>
    <cellStyle name="汇总" xfId="54" builtinId="25"/>
    <cellStyle name="好" xfId="55" builtinId="26"/>
    <cellStyle name="适中" xfId="56" builtinId="28"/>
    <cellStyle name="常规 8 2" xfId="57"/>
    <cellStyle name="20% - 强调文字颜色 5" xfId="58" builtinId="46"/>
    <cellStyle name="强调文字颜色 1" xfId="59" builtinId="29"/>
    <cellStyle name="20% - 强调文字颜色 1" xfId="60" builtinId="30"/>
    <cellStyle name="40% - 强调文字颜色 1" xfId="61" builtinId="31"/>
    <cellStyle name="输出 2" xfId="62"/>
    <cellStyle name="20% - 强调文字颜色 2" xfId="63" builtinId="34"/>
    <cellStyle name="40% - 强调文字颜色 2" xfId="64" builtinId="35"/>
    <cellStyle name="强调文字颜色 3" xfId="65" builtinId="37"/>
    <cellStyle name="强调文字颜色 4" xfId="66" builtinId="41"/>
    <cellStyle name="_松江区小昆山水厂一期工程" xfId="67"/>
    <cellStyle name="20% - 强调文字颜色 4" xfId="68" builtinId="42"/>
    <cellStyle name="40% - 强调文字颜色 4" xfId="69" builtinId="43"/>
    <cellStyle name="强调文字颜色 5" xfId="70" builtinId="45"/>
    <cellStyle name="F2" xfId="71"/>
    <cellStyle name="40% - 强调文字颜色 5" xfId="72" builtinId="47"/>
    <cellStyle name="60% - 强调文字颜色 5" xfId="73" builtinId="48"/>
    <cellStyle name="强调文字颜色 6" xfId="74" builtinId="49"/>
    <cellStyle name="_闽行新桥概算初设" xfId="75"/>
    <cellStyle name="F3" xfId="76"/>
    <cellStyle name="适中 2" xfId="77"/>
    <cellStyle name="40% - 强调文字颜色 6" xfId="78" builtinId="51"/>
    <cellStyle name="60% - 强调文字颜色 6" xfId="79" builtinId="52"/>
    <cellStyle name="_b.南昌估算(修改）20091015" xfId="80"/>
    <cellStyle name="_安装工程" xfId="81"/>
    <cellStyle name="_常熟市藕渠增压泵站扩建工程自仪材料表0218(张浩）" xfId="82"/>
    <cellStyle name="_二期工程概算（无深度处理）正式稿" xfId="83"/>
    <cellStyle name="输出 2 3" xfId="84"/>
    <cellStyle name="_崇明概算0710" xfId="85"/>
    <cellStyle name="好_绍兴电气设备清单_new_初设概算" xfId="86"/>
    <cellStyle name="_（初设）宝钢电厂取排水改造" xfId="87"/>
    <cellStyle name="注释 2 2" xfId="88"/>
    <cellStyle name="_a.合肥第六水厂(投标)070924" xfId="89"/>
    <cellStyle name="百分比 3 2" xfId="90"/>
    <cellStyle name="_肥西县水厂" xfId="91"/>
    <cellStyle name="_丹阳长湾水厂－工可-调整（例）" xfId="92"/>
    <cellStyle name="_崇明" xfId="93"/>
    <cellStyle name="_崇明概算调整" xfId="94"/>
    <cellStyle name="_概算091117" xfId="95"/>
    <cellStyle name="差_绍兴电气设备清单_new" xfId="96"/>
    <cellStyle name="常规 4 3" xfId="97"/>
    <cellStyle name="_杭州工程量计算1" xfId="98"/>
    <cellStyle name="_金海水厂二期可行性" xfId="99"/>
    <cellStyle name="计算 2 13" xfId="100"/>
    <cellStyle name="输出 2 12" xfId="101"/>
    <cellStyle name="_金山工程量计算(张晓波）" xfId="102"/>
    <cellStyle name="汇总 2 19" xfId="103"/>
    <cellStyle name="_扩建工程" xfId="104"/>
    <cellStyle name="_老港固体废弃物综合利用基地内河工程工可估算总表" xfId="105"/>
    <cellStyle name="_南昌估算（初稿）(校队修改稿）081124" xfId="106"/>
    <cellStyle name="_南通狼山分厂计算2" xfId="107"/>
    <cellStyle name="常规 2 2 3" xfId="108"/>
    <cellStyle name="_南通狼山水厂分厂工可2010.7.9" xfId="109"/>
    <cellStyle name="_土建清单" xfId="110"/>
    <cellStyle name="输入 2 17" xfId="111"/>
    <cellStyle name="常规_无锡中桥深度处理" xfId="112"/>
    <cellStyle name="_三明市第二水源工程工可调整" xfId="113"/>
    <cellStyle name="_蛇口管网" xfId="114"/>
    <cellStyle name="_世博园区(浦东)管沟.-孙晨xls" xfId="115"/>
    <cellStyle name="_世博园区-(浦东)-综合管沟-修" xfId="116"/>
    <cellStyle name="好_绍兴电气设备清单_new_虹桥南北片区公共绿地一期工程初设20150729" xfId="117"/>
    <cellStyle name="_投资估算" xfId="118"/>
    <cellStyle name="常规 2 3 2" xfId="119"/>
    <cellStyle name="_投资估算(设计优化）20090318" xfId="120"/>
    <cellStyle name="_投资估算070820" xfId="121"/>
    <cellStyle name="常规 19 2" xfId="122"/>
    <cellStyle name="_无锡工可" xfId="123"/>
    <cellStyle name="_无锡中桥深度处理初设" xfId="124"/>
    <cellStyle name="_箱涵初设校对评审稿(按四段分)" xfId="125"/>
    <cellStyle name="_源江水厂一期工程初设概算（最终稿科技委评审2）" xfId="126"/>
    <cellStyle name="好_仁和南路电气工程量" xfId="127"/>
    <cellStyle name="_源江水厂一期工程施工图设计土建计算底稿（李）" xfId="128"/>
    <cellStyle name="常规 19" xfId="129"/>
    <cellStyle name="_总表" xfId="130"/>
    <cellStyle name="0,0_x000d__x000a_NA_x000d__x000a_ 2" xfId="131"/>
    <cellStyle name="标题 2 2" xfId="132"/>
    <cellStyle name="0,0_x000d__x000a_NA_x000d__x000a_ 2 2" xfId="133"/>
    <cellStyle name="0,0_x000d__x000a_NA_x000d__x000a_ 3" xfId="134"/>
    <cellStyle name="0,0_x000d__x000a_NA_x000d__x000a_ 3 2" xfId="135"/>
    <cellStyle name="常规 11" xfId="136"/>
    <cellStyle name="0,0_x000d__x000a_NA_x000d__x000a_ 4" xfId="137"/>
    <cellStyle name="0,0_x000d__x000a_NA_x000d__x000a__经十八路景观" xfId="138"/>
    <cellStyle name="汇总 2 7" xfId="139"/>
    <cellStyle name="20% - 强调文字颜色 1 2" xfId="140"/>
    <cellStyle name="20% - 强调文字颜色 2 2" xfId="141"/>
    <cellStyle name="输出 2 2" xfId="142"/>
    <cellStyle name="20% - 强调文字颜色 3 2" xfId="143"/>
    <cellStyle name="F8" xfId="144"/>
    <cellStyle name="20% - 强调文字颜色 4 2" xfId="145"/>
    <cellStyle name="常规 3" xfId="146"/>
    <cellStyle name="20% - 强调文字颜色 5 2" xfId="147"/>
    <cellStyle name="20% - 强调文字颜色 6 2" xfId="148"/>
    <cellStyle name="40% - 强调文字颜色 1 2" xfId="149"/>
    <cellStyle name="40% - 强调文字颜色 2 2" xfId="150"/>
    <cellStyle name="40% - 强调文字颜色 3 2" xfId="151"/>
    <cellStyle name="计算 2 2" xfId="152"/>
    <cellStyle name="40% - 强调文字颜色 5 2" xfId="153"/>
    <cellStyle name="F2 2" xfId="154"/>
    <cellStyle name="40% - 强调文字颜色 6 2" xfId="155"/>
    <cellStyle name="F3 2" xfId="156"/>
    <cellStyle name="60% - 强调文字颜色 1 2" xfId="157"/>
    <cellStyle name="60% - 强调文字颜色 2 2" xfId="158"/>
    <cellStyle name="常规 5" xfId="159"/>
    <cellStyle name="60% - 强调文字颜色 3 2" xfId="160"/>
    <cellStyle name="60% - 强调文字颜色 4 2" xfId="161"/>
    <cellStyle name="60% - 强调文字颜色 5 2" xfId="162"/>
    <cellStyle name="60% - 强调文字颜色 6 2" xfId="163"/>
    <cellStyle name="ColLevel_0" xfId="164"/>
    <cellStyle name="Comma_8万吨调整" xfId="165"/>
    <cellStyle name="常规_20110615宝山区罗美家园配套工程——陆翔污水泵站新建工程" xfId="166"/>
    <cellStyle name="Currency [0]_8万吨调整" xfId="167"/>
    <cellStyle name="F4" xfId="168"/>
    <cellStyle name="F4 2" xfId="169"/>
    <cellStyle name="常规 13" xfId="170"/>
    <cellStyle name="F5" xfId="171"/>
    <cellStyle name="F5 2" xfId="172"/>
    <cellStyle name="注释 2 14" xfId="173"/>
    <cellStyle name="F6" xfId="174"/>
    <cellStyle name="F6 2" xfId="175"/>
    <cellStyle name="输入 2 13" xfId="176"/>
    <cellStyle name="F7" xfId="177"/>
    <cellStyle name="F7 2" xfId="178"/>
    <cellStyle name="F8 2" xfId="179"/>
    <cellStyle name="汇总 2 8" xfId="180"/>
    <cellStyle name="no dec" xfId="181"/>
    <cellStyle name="差_绍兴电气设备清单_new_电气2_虹桥南北片区公共绿地一期工程初设20150729" xfId="182"/>
    <cellStyle name="Normal_ 平面布置(土建)" xfId="183"/>
    <cellStyle name="Normal_单项表" xfId="184"/>
    <cellStyle name="oft Excel]_x000d__x000a_Comment=The open=/f lines load custom functions into the Paste Function list._x000d__x000a_Maximized=3_x000d__x000a_AutoFormat=" xfId="185"/>
    <cellStyle name="百分比 2" xfId="186"/>
    <cellStyle name="百分比 2 2" xfId="187"/>
    <cellStyle name="百分比 2 2 2" xfId="188"/>
    <cellStyle name="差_绍兴电气设备清单_new_初设概算_虹桥南北片区公共绿地一期工程初设20150729" xfId="189"/>
    <cellStyle name="百分比 2 3" xfId="190"/>
    <cellStyle name="百分比 3" xfId="191"/>
    <cellStyle name="标题 1 2" xfId="192"/>
    <cellStyle name="标题 3 2" xfId="193"/>
    <cellStyle name="常规 2_2010.1.24松江地下工程工可调概" xfId="194"/>
    <cellStyle name="常规 3_永州市河西造纸厂片区道路及风光带建设工程--方案-0521" xfId="195"/>
    <cellStyle name="标题 4 2" xfId="196"/>
    <cellStyle name="千位分隔 3" xfId="197"/>
    <cellStyle name="标题 5" xfId="198"/>
    <cellStyle name="差 2" xfId="199"/>
    <cellStyle name="差_VERA" xfId="200"/>
    <cellStyle name="差_南昌沉北水厂电气设备20081114_虹桥南北片区公共绿地一期工程初设20150729" xfId="201"/>
    <cellStyle name="输出 2 19" xfId="202"/>
    <cellStyle name="差_仁和南路电气工程量" xfId="203"/>
    <cellStyle name="差_绍兴电气设备清单_new_初设概算" xfId="204"/>
    <cellStyle name="汇总 2 11" xfId="205"/>
    <cellStyle name="差_绍兴电气设备清单_new_电气2" xfId="206"/>
    <cellStyle name="差_绍兴电气设备清单_new_虹桥南北片区公共绿地一期工程初设20150729" xfId="207"/>
    <cellStyle name="差_跃进河两侧公共绿地工程1223" xfId="208"/>
    <cellStyle name="常规 3 2" xfId="209"/>
    <cellStyle name="汇总 2 14" xfId="210"/>
    <cellStyle name="常规 10" xfId="211"/>
    <cellStyle name="常规 16 2" xfId="212"/>
    <cellStyle name="常规 12" xfId="213"/>
    <cellStyle name="常规 12 2" xfId="214"/>
    <cellStyle name="常规 12_虹桥南北片区公共绿地一期工程初设20150729" xfId="215"/>
    <cellStyle name="常规 13 2" xfId="216"/>
    <cellStyle name="常规 14" xfId="217"/>
    <cellStyle name="常规 14 2" xfId="218"/>
    <cellStyle name="常规 15" xfId="219"/>
    <cellStyle name="常规 20" xfId="220"/>
    <cellStyle name="常规 15 2" xfId="221"/>
    <cellStyle name="常规 16" xfId="222"/>
    <cellStyle name="常规 21" xfId="223"/>
    <cellStyle name="常规 17" xfId="224"/>
    <cellStyle name="常规 22" xfId="225"/>
    <cellStyle name="后继超级链接" xfId="226"/>
    <cellStyle name="常规 17 2" xfId="227"/>
    <cellStyle name="常规 60" xfId="228"/>
    <cellStyle name="注释 2 11" xfId="229"/>
    <cellStyle name="常规 18" xfId="230"/>
    <cellStyle name="常规 18 2" xfId="231"/>
    <cellStyle name="输入 2 10" xfId="232"/>
    <cellStyle name="常规 2" xfId="233"/>
    <cellStyle name="常规 2 2" xfId="234"/>
    <cellStyle name="常规 2 2 2" xfId="235"/>
    <cellStyle name="常规 37" xfId="236"/>
    <cellStyle name="常规 2 3" xfId="237"/>
    <cellStyle name="常规 2 4" xfId="238"/>
    <cellStyle name="常规 2 5" xfId="239"/>
    <cellStyle name="强调文字颜色 4 2" xfId="240"/>
    <cellStyle name="常规 4" xfId="241"/>
    <cellStyle name="常规 4 2" xfId="242"/>
    <cellStyle name="常规 4 2 2" xfId="243"/>
    <cellStyle name="常规 6 2" xfId="244"/>
    <cellStyle name="注释 2" xfId="245"/>
    <cellStyle name="常规 62" xfId="246"/>
    <cellStyle name="注释 2 13" xfId="247"/>
    <cellStyle name="常规 7" xfId="248"/>
    <cellStyle name="常规 7 2" xfId="249"/>
    <cellStyle name="常规 75" xfId="250"/>
    <cellStyle name="常规 8" xfId="251"/>
    <cellStyle name="常规 9" xfId="252"/>
    <cellStyle name="常规_暖通_1" xfId="253"/>
    <cellStyle name="超级链接" xfId="254"/>
    <cellStyle name="好 2" xfId="255"/>
    <cellStyle name="好_6条路初设电气工程量" xfId="256"/>
    <cellStyle name="注释 2 10" xfId="257"/>
    <cellStyle name="好_VERA" xfId="258"/>
    <cellStyle name="好_南昌沉北水厂电气设备20081114" xfId="259"/>
    <cellStyle name="好_南昌沉北水厂电气设备20081114_虹桥南北片区公共绿地一期工程初设20150729" xfId="260"/>
    <cellStyle name="好_绍兴电气设备清单_new" xfId="261"/>
    <cellStyle name="好_绍兴电气设备清单_new_初设概算_虹桥南北片区公共绿地一期工程初设20150729" xfId="262"/>
    <cellStyle name="好_绍兴电气设备清单_new_电气2" xfId="263"/>
    <cellStyle name="输出 2 9" xfId="264"/>
    <cellStyle name="好_绍兴电气设备清单_new_电气2_虹桥南北片区公共绿地一期工程初设20150729" xfId="265"/>
    <cellStyle name="好_跃进河两侧公共绿地工程1223" xfId="266"/>
    <cellStyle name="输入 2 2" xfId="267"/>
    <cellStyle name="汇总 2" xfId="268"/>
    <cellStyle name="汇总 2 10" xfId="269"/>
    <cellStyle name="汇总 2 12" xfId="270"/>
    <cellStyle name="汇总 2 13" xfId="271"/>
    <cellStyle name="汇总 2 15" xfId="272"/>
    <cellStyle name="汇总 2 20" xfId="273"/>
    <cellStyle name="汇总 2 16" xfId="274"/>
    <cellStyle name="汇总 2 17" xfId="275"/>
    <cellStyle name="强调文字颜色 5 2" xfId="276"/>
    <cellStyle name="汇总 2 18" xfId="277"/>
    <cellStyle name="汇总 2 2" xfId="278"/>
    <cellStyle name="汇总 2 3" xfId="279"/>
    <cellStyle name="检查单元格 2" xfId="280"/>
    <cellStyle name="汇总 2 4" xfId="281"/>
    <cellStyle name="汇总 2 5" xfId="282"/>
    <cellStyle name="汇总 2 6" xfId="283"/>
    <cellStyle name="汇总 2 9" xfId="284"/>
    <cellStyle name="计算 2 11" xfId="285"/>
    <cellStyle name="输出 2 10" xfId="286"/>
    <cellStyle name="计算 2 12" xfId="287"/>
    <cellStyle name="输出 2 11" xfId="288"/>
    <cellStyle name="计算 2 14" xfId="289"/>
    <cellStyle name="输出 2 13" xfId="290"/>
    <cellStyle name="计算 2 15" xfId="291"/>
    <cellStyle name="计算 2 20" xfId="292"/>
    <cellStyle name="输出 2 14" xfId="293"/>
    <cellStyle name="计算 2 16" xfId="294"/>
    <cellStyle name="输出 2 15" xfId="295"/>
    <cellStyle name="输出 2 20" xfId="296"/>
    <cellStyle name="计算 2 17" xfId="297"/>
    <cellStyle name="输出 2 16" xfId="298"/>
    <cellStyle name="计算 2 18" xfId="299"/>
    <cellStyle name="输出 2 17" xfId="300"/>
    <cellStyle name="计算 2 19" xfId="301"/>
    <cellStyle name="输出 2 18" xfId="302"/>
    <cellStyle name="计算 2 3" xfId="303"/>
    <cellStyle name="计算 2 4" xfId="304"/>
    <cellStyle name="计算 2 5" xfId="305"/>
    <cellStyle name="计算 2 6" xfId="306"/>
    <cellStyle name="计算 2 7" xfId="307"/>
    <cellStyle name="解释性文本 2" xfId="308"/>
    <cellStyle name="警告文本 2" xfId="309"/>
    <cellStyle name="注释 2 18" xfId="310"/>
    <cellStyle name="链接单元格 2" xfId="311"/>
    <cellStyle name="普通_ 费率" xfId="312"/>
    <cellStyle name="普通_QINGPU1" xfId="313"/>
    <cellStyle name="普通_总表_1_施湾初总" xfId="314"/>
    <cellStyle name="普通O电气设备_平面布置,管配件" xfId="315"/>
    <cellStyle name="千分位[0]_ 管配件" xfId="316"/>
    <cellStyle name="输入 2 12" xfId="317"/>
    <cellStyle name="千分位_ 管配件" xfId="318"/>
    <cellStyle name="千位[0]_laroux" xfId="319"/>
    <cellStyle name="千位_laroux" xfId="320"/>
    <cellStyle name="千位分隔 2" xfId="321"/>
    <cellStyle name="千位分隔 2 2" xfId="322"/>
    <cellStyle name="强调文字颜色 1 2" xfId="323"/>
    <cellStyle name="强调文字颜色 2 2" xfId="324"/>
    <cellStyle name="强调文字颜色 3 2" xfId="325"/>
    <cellStyle name="输入 2 4" xfId="326"/>
    <cellStyle name="强调文字颜色 6 2" xfId="327"/>
    <cellStyle name="常规_初设安装工程-to孙晨" xfId="328"/>
    <cellStyle name="输出 2 4" xfId="329"/>
    <cellStyle name="输出 2 5" xfId="330"/>
    <cellStyle name="输出 2 6" xfId="331"/>
    <cellStyle name="输出 2 7" xfId="332"/>
    <cellStyle name="输出 2 8" xfId="333"/>
    <cellStyle name="样式 1" xfId="334"/>
    <cellStyle name="输入 2" xfId="335"/>
    <cellStyle name="输入 2 11" xfId="336"/>
    <cellStyle name="输入 2 14" xfId="337"/>
    <cellStyle name="输入 2 15" xfId="338"/>
    <cellStyle name="输入 2 20" xfId="339"/>
    <cellStyle name="输入 2 16" xfId="340"/>
    <cellStyle name="输入 2 18" xfId="341"/>
    <cellStyle name="输入 2 19" xfId="342"/>
    <cellStyle name="输入 2 3" xfId="343"/>
    <cellStyle name="输入 2 5" xfId="344"/>
    <cellStyle name="输入 2 6" xfId="345"/>
    <cellStyle name="输入 2 7" xfId="346"/>
    <cellStyle name="输入 2 8" xfId="347"/>
    <cellStyle name="输入 2 9" xfId="348"/>
    <cellStyle name="注释 2 12" xfId="349"/>
    <cellStyle name="注释 2 15" xfId="350"/>
    <cellStyle name="注释 2 16" xfId="351"/>
    <cellStyle name="注释 2 17" xfId="352"/>
    <cellStyle name="注释 2 19" xfId="353"/>
    <cellStyle name="注释 2 4" xfId="354"/>
    <cellStyle name="注释 2 5" xfId="355"/>
    <cellStyle name="注释 2 6" xfId="356"/>
    <cellStyle name="注释 2 7" xfId="357"/>
    <cellStyle name="注释 2 8" xfId="358"/>
    <cellStyle name="注释 2 9" xfId="359"/>
  </cellStyles>
  <dxfs count="3">
    <dxf>
      <font>
        <color rgb="FF9C0006"/>
      </font>
      <fill>
        <patternFill patternType="solid">
          <bgColor rgb="FFFFC7CE"/>
        </patternFill>
      </fill>
    </dxf>
    <dxf>
      <font>
        <color indexed="10"/>
      </font>
    </dxf>
    <dxf>
      <font>
        <b val="1"/>
        <i val="0"/>
        <color indexed="10"/>
      </font>
    </dxf>
  </dxf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7.xml"/><Relationship Id="rId16" Type="http://schemas.openxmlformats.org/officeDocument/2006/relationships/externalLink" Target="externalLinks/externalLink6.xml"/><Relationship Id="rId15" Type="http://schemas.openxmlformats.org/officeDocument/2006/relationships/externalLink" Target="externalLinks/externalLink5.xml"/><Relationship Id="rId14" Type="http://schemas.openxmlformats.org/officeDocument/2006/relationships/externalLink" Target="externalLinks/externalLink4.xml"/><Relationship Id="rId13" Type="http://schemas.openxmlformats.org/officeDocument/2006/relationships/externalLink" Target="externalLinks/externalLink3.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45720</xdr:colOff>
      <xdr:row>1</xdr:row>
      <xdr:rowOff>0</xdr:rowOff>
    </xdr:from>
    <xdr:to>
      <xdr:col>1</xdr:col>
      <xdr:colOff>129540</xdr:colOff>
      <xdr:row>1</xdr:row>
      <xdr:rowOff>38100</xdr:rowOff>
    </xdr:to>
    <xdr:sp>
      <xdr:nvSpPr>
        <xdr:cNvPr id="2"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3" name="Line 3"/>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4" name="Line 4"/>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5" name="Line 5"/>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6" name="Line 6"/>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7" name="Line 1"/>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8" name="Line 3"/>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15240</xdr:rowOff>
    </xdr:from>
    <xdr:to>
      <xdr:col>2</xdr:col>
      <xdr:colOff>0</xdr:colOff>
      <xdr:row>7</xdr:row>
      <xdr:rowOff>7620</xdr:rowOff>
    </xdr:to>
    <xdr:sp>
      <xdr:nvSpPr>
        <xdr:cNvPr id="9" name="Line 4"/>
        <xdr:cNvSpPr>
          <a:spLocks noChangeShapeType="1"/>
        </xdr:cNvSpPr>
      </xdr:nvSpPr>
      <xdr:spPr>
        <a:xfrm>
          <a:off x="713105" y="9772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0" name="Line 1819"/>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 name="Line 1820"/>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15240</xdr:rowOff>
    </xdr:from>
    <xdr:to>
      <xdr:col>2</xdr:col>
      <xdr:colOff>0</xdr:colOff>
      <xdr:row>7</xdr:row>
      <xdr:rowOff>7620</xdr:rowOff>
    </xdr:to>
    <xdr:sp>
      <xdr:nvSpPr>
        <xdr:cNvPr id="12" name="Line 1821"/>
        <xdr:cNvSpPr>
          <a:spLocks noChangeShapeType="1"/>
        </xdr:cNvSpPr>
      </xdr:nvSpPr>
      <xdr:spPr>
        <a:xfrm>
          <a:off x="713105" y="9772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3" name="Line 1824"/>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4" name="Line 1825"/>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15240</xdr:rowOff>
    </xdr:from>
    <xdr:to>
      <xdr:col>2</xdr:col>
      <xdr:colOff>0</xdr:colOff>
      <xdr:row>7</xdr:row>
      <xdr:rowOff>7620</xdr:rowOff>
    </xdr:to>
    <xdr:sp>
      <xdr:nvSpPr>
        <xdr:cNvPr id="15" name="Line 1826"/>
        <xdr:cNvSpPr>
          <a:spLocks noChangeShapeType="1"/>
        </xdr:cNvSpPr>
      </xdr:nvSpPr>
      <xdr:spPr>
        <a:xfrm>
          <a:off x="713105" y="9772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6" name="Line 1829"/>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7" name="Line 1830"/>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15240</xdr:rowOff>
    </xdr:from>
    <xdr:to>
      <xdr:col>2</xdr:col>
      <xdr:colOff>0</xdr:colOff>
      <xdr:row>7</xdr:row>
      <xdr:rowOff>7620</xdr:rowOff>
    </xdr:to>
    <xdr:sp>
      <xdr:nvSpPr>
        <xdr:cNvPr id="18" name="Line 1831"/>
        <xdr:cNvSpPr>
          <a:spLocks noChangeShapeType="1"/>
        </xdr:cNvSpPr>
      </xdr:nvSpPr>
      <xdr:spPr>
        <a:xfrm>
          <a:off x="713105" y="9772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9" name="Line 1834"/>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20" name="Line 1835"/>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21"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22" name="Line 2"/>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23" name="Line 3"/>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24" name="Line 4"/>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25" name="Line 5"/>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26" name="Line 6"/>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27" name="Line 7"/>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28" name="Line 8"/>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29" name="Line 9"/>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30" name="Line 10"/>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31" name="Line 1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32" name="Line 12"/>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33" name="Line 13"/>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34" name="Line 14"/>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35" name="Line 15"/>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36" name="Line 16"/>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37" name="Line 17"/>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38" name="Line 18"/>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39" name="Line 19"/>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40" name="Line 20"/>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41"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42" name="Line 2"/>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43" name="Line 3"/>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44" name="Line 4"/>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45" name="Line 5"/>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46" name="Line 6"/>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47" name="Line 7"/>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48" name="Line 8"/>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49" name="Line 9"/>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50" name="Line 10"/>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51" name="Line 1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52" name="Line 12"/>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53" name="Line 13"/>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54" name="Line 14"/>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55" name="Line 15"/>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56" name="Line 16"/>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57" name="Line 17"/>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58" name="Line 18"/>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59" name="Line 19"/>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60" name="Line 20"/>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61"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62" name="Line 3"/>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63" name="Line 4"/>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64" name="Line 5"/>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65" name="Line 6"/>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66" name="Line 1819"/>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67" name="Line 1820"/>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68" name="Line 1821"/>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69" name="Line 1822"/>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70" name="Line 1823"/>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71" name="Line 1824"/>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72" name="Line 1825"/>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73" name="Line 1826"/>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74" name="Line 1827"/>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75" name="Line 1828"/>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76" name="Line 1829"/>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77" name="Line 1830"/>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78" name="Line 1831"/>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79" name="Line 1832"/>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80" name="Line 1833"/>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81" name="Line 1834"/>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82" name="Line 1835"/>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83" name="Line 1836"/>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84" name="Line 1837"/>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85" name="Line 1838"/>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86"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87" name="Line 3"/>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88" name="Line 4"/>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89" name="Line 5"/>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90" name="Line 6"/>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91" name="Line 2649"/>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92" name="Line 2650"/>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93" name="Line 2651"/>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94" name="Line 2652"/>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95" name="Line 2653"/>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96" name="Line 2654"/>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97" name="Line 2655"/>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98" name="Line 2656"/>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99" name="Line 2657"/>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00" name="Line 2658"/>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01" name="Line 2659"/>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02" name="Line 2660"/>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03" name="Line 2661"/>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04" name="Line 2662"/>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05" name="Line 2663"/>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06" name="Line 2664"/>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07" name="Line 2665"/>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08" name="Line 2666"/>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09" name="Line 2667"/>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10" name="Line 2668"/>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1" name="Line 1"/>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2" name="Line 3"/>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3" name="Line 1819"/>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4" name="Line 1820"/>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5" name="Line 1824"/>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6" name="Line 1825"/>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7" name="Line 1829"/>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8" name="Line 1830"/>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9" name="Line 1834"/>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20" name="Line 1835"/>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21"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22" name="Line 2"/>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23" name="Line 3"/>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24" name="Line 4"/>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25" name="Line 5"/>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26" name="Line 6"/>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27" name="Line 7"/>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28" name="Line 8"/>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29" name="Line 9"/>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30" name="Line 10"/>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31" name="Line 1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32" name="Line 12"/>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33" name="Line 13"/>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34" name="Line 14"/>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35" name="Line 15"/>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36" name="Line 16"/>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37" name="Line 17"/>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38" name="Line 18"/>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39" name="Line 19"/>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40" name="Line 20"/>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41"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42" name="Line 2"/>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43" name="Line 3"/>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44" name="Line 4"/>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45" name="Line 5"/>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46" name="Line 6"/>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47" name="Line 7"/>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48" name="Line 8"/>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49" name="Line 9"/>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50" name="Line 10"/>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51" name="Line 1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52" name="Line 12"/>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53" name="Line 13"/>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54" name="Line 14"/>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55" name="Line 15"/>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56" name="Line 16"/>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57" name="Line 17"/>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58" name="Line 18"/>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59" name="Line 19"/>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60" name="Line 20"/>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61"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62" name="Line 3"/>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63" name="Line 4"/>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64" name="Line 5"/>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65" name="Line 6"/>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66" name="Line 1819"/>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67" name="Line 1820"/>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68" name="Line 1821"/>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69" name="Line 1822"/>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70" name="Line 1823"/>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71" name="Line 1824"/>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72" name="Line 1825"/>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73" name="Line 1826"/>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74" name="Line 1827"/>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75" name="Line 1828"/>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76" name="Line 1829"/>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77" name="Line 1830"/>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78" name="Line 1831"/>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79" name="Line 1832"/>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80" name="Line 1833"/>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81" name="Line 1834"/>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82" name="Line 1835"/>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83" name="Line 1836"/>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84" name="Line 1837"/>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85" name="Line 1838"/>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86"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87" name="Line 3"/>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88" name="Line 4"/>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89" name="Line 5"/>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90" name="Line 6"/>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91" name="Line 2649"/>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92" name="Line 2650"/>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93" name="Line 2651"/>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94" name="Line 2652"/>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195" name="Line 2653"/>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96" name="Line 2654"/>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97" name="Line 2655"/>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98" name="Line 2656"/>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99" name="Line 2657"/>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200" name="Line 2658"/>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201" name="Line 2659"/>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202" name="Line 2660"/>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203" name="Line 2661"/>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204" name="Line 2662"/>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205" name="Line 2663"/>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206" name="Line 2664"/>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207" name="Line 2665"/>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208" name="Line 2666"/>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209" name="Line 2667"/>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1341120</xdr:colOff>
      <xdr:row>12</xdr:row>
      <xdr:rowOff>0</xdr:rowOff>
    </xdr:to>
    <xdr:sp>
      <xdr:nvSpPr>
        <xdr:cNvPr id="210" name="Line 2668"/>
        <xdr:cNvSpPr>
          <a:spLocks noChangeShapeType="1"/>
        </xdr:cNvSpPr>
      </xdr:nvSpPr>
      <xdr:spPr>
        <a:xfrm flipV="1">
          <a:off x="2000885" y="22288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19</xdr:row>
      <xdr:rowOff>0</xdr:rowOff>
    </xdr:from>
    <xdr:to>
      <xdr:col>1</xdr:col>
      <xdr:colOff>129540</xdr:colOff>
      <xdr:row>19</xdr:row>
      <xdr:rowOff>38100</xdr:rowOff>
    </xdr:to>
    <xdr:sp>
      <xdr:nvSpPr>
        <xdr:cNvPr id="211" name="Line 1"/>
        <xdr:cNvSpPr>
          <a:spLocks noChangeShapeType="1"/>
        </xdr:cNvSpPr>
      </xdr:nvSpPr>
      <xdr:spPr>
        <a:xfrm>
          <a:off x="713105" y="3152775"/>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19</xdr:row>
      <xdr:rowOff>0</xdr:rowOff>
    </xdr:from>
    <xdr:to>
      <xdr:col>1</xdr:col>
      <xdr:colOff>129540</xdr:colOff>
      <xdr:row>19</xdr:row>
      <xdr:rowOff>38100</xdr:rowOff>
    </xdr:to>
    <xdr:sp>
      <xdr:nvSpPr>
        <xdr:cNvPr id="212" name="Line 3"/>
        <xdr:cNvSpPr>
          <a:spLocks noChangeShapeType="1"/>
        </xdr:cNvSpPr>
      </xdr:nvSpPr>
      <xdr:spPr>
        <a:xfrm>
          <a:off x="713105" y="3152775"/>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19</xdr:row>
      <xdr:rowOff>15240</xdr:rowOff>
    </xdr:from>
    <xdr:to>
      <xdr:col>2</xdr:col>
      <xdr:colOff>0</xdr:colOff>
      <xdr:row>21</xdr:row>
      <xdr:rowOff>7620</xdr:rowOff>
    </xdr:to>
    <xdr:sp>
      <xdr:nvSpPr>
        <xdr:cNvPr id="213" name="Line 4"/>
        <xdr:cNvSpPr>
          <a:spLocks noChangeShapeType="1"/>
        </xdr:cNvSpPr>
      </xdr:nvSpPr>
      <xdr:spPr>
        <a:xfrm>
          <a:off x="713105" y="3152775"/>
          <a:ext cx="133540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19</xdr:row>
      <xdr:rowOff>0</xdr:rowOff>
    </xdr:from>
    <xdr:to>
      <xdr:col>1</xdr:col>
      <xdr:colOff>129540</xdr:colOff>
      <xdr:row>19</xdr:row>
      <xdr:rowOff>38100</xdr:rowOff>
    </xdr:to>
    <xdr:sp>
      <xdr:nvSpPr>
        <xdr:cNvPr id="214" name="Line 1819"/>
        <xdr:cNvSpPr>
          <a:spLocks noChangeShapeType="1"/>
        </xdr:cNvSpPr>
      </xdr:nvSpPr>
      <xdr:spPr>
        <a:xfrm>
          <a:off x="713105" y="3152775"/>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19</xdr:row>
      <xdr:rowOff>0</xdr:rowOff>
    </xdr:from>
    <xdr:to>
      <xdr:col>1</xdr:col>
      <xdr:colOff>129540</xdr:colOff>
      <xdr:row>19</xdr:row>
      <xdr:rowOff>38100</xdr:rowOff>
    </xdr:to>
    <xdr:sp>
      <xdr:nvSpPr>
        <xdr:cNvPr id="215" name="Line 1820"/>
        <xdr:cNvSpPr>
          <a:spLocks noChangeShapeType="1"/>
        </xdr:cNvSpPr>
      </xdr:nvSpPr>
      <xdr:spPr>
        <a:xfrm>
          <a:off x="713105" y="3152775"/>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19</xdr:row>
      <xdr:rowOff>15240</xdr:rowOff>
    </xdr:from>
    <xdr:to>
      <xdr:col>2</xdr:col>
      <xdr:colOff>0</xdr:colOff>
      <xdr:row>21</xdr:row>
      <xdr:rowOff>7620</xdr:rowOff>
    </xdr:to>
    <xdr:sp>
      <xdr:nvSpPr>
        <xdr:cNvPr id="216" name="Line 1821"/>
        <xdr:cNvSpPr>
          <a:spLocks noChangeShapeType="1"/>
        </xdr:cNvSpPr>
      </xdr:nvSpPr>
      <xdr:spPr>
        <a:xfrm>
          <a:off x="713105" y="3152775"/>
          <a:ext cx="133540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19</xdr:row>
      <xdr:rowOff>0</xdr:rowOff>
    </xdr:from>
    <xdr:to>
      <xdr:col>1</xdr:col>
      <xdr:colOff>129540</xdr:colOff>
      <xdr:row>19</xdr:row>
      <xdr:rowOff>38100</xdr:rowOff>
    </xdr:to>
    <xdr:sp>
      <xdr:nvSpPr>
        <xdr:cNvPr id="217" name="Line 1824"/>
        <xdr:cNvSpPr>
          <a:spLocks noChangeShapeType="1"/>
        </xdr:cNvSpPr>
      </xdr:nvSpPr>
      <xdr:spPr>
        <a:xfrm>
          <a:off x="713105" y="3152775"/>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19</xdr:row>
      <xdr:rowOff>0</xdr:rowOff>
    </xdr:from>
    <xdr:to>
      <xdr:col>1</xdr:col>
      <xdr:colOff>129540</xdr:colOff>
      <xdr:row>19</xdr:row>
      <xdr:rowOff>38100</xdr:rowOff>
    </xdr:to>
    <xdr:sp>
      <xdr:nvSpPr>
        <xdr:cNvPr id="218" name="Line 1825"/>
        <xdr:cNvSpPr>
          <a:spLocks noChangeShapeType="1"/>
        </xdr:cNvSpPr>
      </xdr:nvSpPr>
      <xdr:spPr>
        <a:xfrm>
          <a:off x="713105" y="3152775"/>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19</xdr:row>
      <xdr:rowOff>15240</xdr:rowOff>
    </xdr:from>
    <xdr:to>
      <xdr:col>2</xdr:col>
      <xdr:colOff>0</xdr:colOff>
      <xdr:row>21</xdr:row>
      <xdr:rowOff>7620</xdr:rowOff>
    </xdr:to>
    <xdr:sp>
      <xdr:nvSpPr>
        <xdr:cNvPr id="219" name="Line 1826"/>
        <xdr:cNvSpPr>
          <a:spLocks noChangeShapeType="1"/>
        </xdr:cNvSpPr>
      </xdr:nvSpPr>
      <xdr:spPr>
        <a:xfrm>
          <a:off x="713105" y="3152775"/>
          <a:ext cx="133540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19</xdr:row>
      <xdr:rowOff>0</xdr:rowOff>
    </xdr:from>
    <xdr:to>
      <xdr:col>1</xdr:col>
      <xdr:colOff>129540</xdr:colOff>
      <xdr:row>19</xdr:row>
      <xdr:rowOff>38100</xdr:rowOff>
    </xdr:to>
    <xdr:sp>
      <xdr:nvSpPr>
        <xdr:cNvPr id="220" name="Line 1829"/>
        <xdr:cNvSpPr>
          <a:spLocks noChangeShapeType="1"/>
        </xdr:cNvSpPr>
      </xdr:nvSpPr>
      <xdr:spPr>
        <a:xfrm>
          <a:off x="713105" y="3152775"/>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19</xdr:row>
      <xdr:rowOff>0</xdr:rowOff>
    </xdr:from>
    <xdr:to>
      <xdr:col>1</xdr:col>
      <xdr:colOff>129540</xdr:colOff>
      <xdr:row>19</xdr:row>
      <xdr:rowOff>38100</xdr:rowOff>
    </xdr:to>
    <xdr:sp>
      <xdr:nvSpPr>
        <xdr:cNvPr id="221" name="Line 1830"/>
        <xdr:cNvSpPr>
          <a:spLocks noChangeShapeType="1"/>
        </xdr:cNvSpPr>
      </xdr:nvSpPr>
      <xdr:spPr>
        <a:xfrm>
          <a:off x="713105" y="3152775"/>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19</xdr:row>
      <xdr:rowOff>15240</xdr:rowOff>
    </xdr:from>
    <xdr:to>
      <xdr:col>2</xdr:col>
      <xdr:colOff>0</xdr:colOff>
      <xdr:row>21</xdr:row>
      <xdr:rowOff>7620</xdr:rowOff>
    </xdr:to>
    <xdr:sp>
      <xdr:nvSpPr>
        <xdr:cNvPr id="222" name="Line 1831"/>
        <xdr:cNvSpPr>
          <a:spLocks noChangeShapeType="1"/>
        </xdr:cNvSpPr>
      </xdr:nvSpPr>
      <xdr:spPr>
        <a:xfrm>
          <a:off x="713105" y="3152775"/>
          <a:ext cx="133540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19</xdr:row>
      <xdr:rowOff>0</xdr:rowOff>
    </xdr:from>
    <xdr:to>
      <xdr:col>1</xdr:col>
      <xdr:colOff>129540</xdr:colOff>
      <xdr:row>19</xdr:row>
      <xdr:rowOff>38100</xdr:rowOff>
    </xdr:to>
    <xdr:sp>
      <xdr:nvSpPr>
        <xdr:cNvPr id="223" name="Line 1834"/>
        <xdr:cNvSpPr>
          <a:spLocks noChangeShapeType="1"/>
        </xdr:cNvSpPr>
      </xdr:nvSpPr>
      <xdr:spPr>
        <a:xfrm>
          <a:off x="713105" y="3152775"/>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19</xdr:row>
      <xdr:rowOff>0</xdr:rowOff>
    </xdr:from>
    <xdr:to>
      <xdr:col>1</xdr:col>
      <xdr:colOff>129540</xdr:colOff>
      <xdr:row>19</xdr:row>
      <xdr:rowOff>38100</xdr:rowOff>
    </xdr:to>
    <xdr:sp>
      <xdr:nvSpPr>
        <xdr:cNvPr id="224" name="Line 1835"/>
        <xdr:cNvSpPr>
          <a:spLocks noChangeShapeType="1"/>
        </xdr:cNvSpPr>
      </xdr:nvSpPr>
      <xdr:spPr>
        <a:xfrm>
          <a:off x="713105" y="3152775"/>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19</xdr:row>
      <xdr:rowOff>15240</xdr:rowOff>
    </xdr:from>
    <xdr:to>
      <xdr:col>2</xdr:col>
      <xdr:colOff>0</xdr:colOff>
      <xdr:row>21</xdr:row>
      <xdr:rowOff>7620</xdr:rowOff>
    </xdr:to>
    <xdr:sp>
      <xdr:nvSpPr>
        <xdr:cNvPr id="225" name="Line 1836"/>
        <xdr:cNvSpPr>
          <a:spLocks noChangeShapeType="1"/>
        </xdr:cNvSpPr>
      </xdr:nvSpPr>
      <xdr:spPr>
        <a:xfrm>
          <a:off x="713105" y="3152775"/>
          <a:ext cx="133540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26" name="Line 1"/>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27" name="Line 2"/>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15240</xdr:rowOff>
    </xdr:from>
    <xdr:to>
      <xdr:col>2</xdr:col>
      <xdr:colOff>0</xdr:colOff>
      <xdr:row>17</xdr:row>
      <xdr:rowOff>7620</xdr:rowOff>
    </xdr:to>
    <xdr:sp>
      <xdr:nvSpPr>
        <xdr:cNvPr id="228" name="Line 3"/>
        <xdr:cNvSpPr>
          <a:spLocks noChangeShapeType="1"/>
        </xdr:cNvSpPr>
      </xdr:nvSpPr>
      <xdr:spPr>
        <a:xfrm>
          <a:off x="713105" y="2806065"/>
          <a:ext cx="1335405" cy="34671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29" name="Line 4"/>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30" name="Line 5"/>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31" name="Line 6"/>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32" name="Line 7"/>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15240</xdr:rowOff>
    </xdr:from>
    <xdr:to>
      <xdr:col>2</xdr:col>
      <xdr:colOff>0</xdr:colOff>
      <xdr:row>17</xdr:row>
      <xdr:rowOff>7620</xdr:rowOff>
    </xdr:to>
    <xdr:sp>
      <xdr:nvSpPr>
        <xdr:cNvPr id="233" name="Line 8"/>
        <xdr:cNvSpPr>
          <a:spLocks noChangeShapeType="1"/>
        </xdr:cNvSpPr>
      </xdr:nvSpPr>
      <xdr:spPr>
        <a:xfrm>
          <a:off x="713105" y="2806065"/>
          <a:ext cx="1335405" cy="34671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34" name="Line 9"/>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35" name="Line 10"/>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36" name="Line 11"/>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37" name="Line 12"/>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15240</xdr:rowOff>
    </xdr:from>
    <xdr:to>
      <xdr:col>2</xdr:col>
      <xdr:colOff>0</xdr:colOff>
      <xdr:row>17</xdr:row>
      <xdr:rowOff>7620</xdr:rowOff>
    </xdr:to>
    <xdr:sp>
      <xdr:nvSpPr>
        <xdr:cNvPr id="238" name="Line 13"/>
        <xdr:cNvSpPr>
          <a:spLocks noChangeShapeType="1"/>
        </xdr:cNvSpPr>
      </xdr:nvSpPr>
      <xdr:spPr>
        <a:xfrm>
          <a:off x="713105" y="2806065"/>
          <a:ext cx="1335405" cy="34671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39" name="Line 14"/>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40" name="Line 15"/>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41" name="Line 16"/>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42" name="Line 17"/>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15240</xdr:rowOff>
    </xdr:from>
    <xdr:to>
      <xdr:col>2</xdr:col>
      <xdr:colOff>0</xdr:colOff>
      <xdr:row>17</xdr:row>
      <xdr:rowOff>7620</xdr:rowOff>
    </xdr:to>
    <xdr:sp>
      <xdr:nvSpPr>
        <xdr:cNvPr id="243" name="Line 18"/>
        <xdr:cNvSpPr>
          <a:spLocks noChangeShapeType="1"/>
        </xdr:cNvSpPr>
      </xdr:nvSpPr>
      <xdr:spPr>
        <a:xfrm>
          <a:off x="713105" y="2806065"/>
          <a:ext cx="1335405" cy="34671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44" name="Line 19"/>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45" name="Line 20"/>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46" name="Line 1"/>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47" name="Line 2"/>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15240</xdr:rowOff>
    </xdr:from>
    <xdr:to>
      <xdr:col>2</xdr:col>
      <xdr:colOff>0</xdr:colOff>
      <xdr:row>17</xdr:row>
      <xdr:rowOff>7620</xdr:rowOff>
    </xdr:to>
    <xdr:sp>
      <xdr:nvSpPr>
        <xdr:cNvPr id="248" name="Line 3"/>
        <xdr:cNvSpPr>
          <a:spLocks noChangeShapeType="1"/>
        </xdr:cNvSpPr>
      </xdr:nvSpPr>
      <xdr:spPr>
        <a:xfrm>
          <a:off x="713105" y="2806065"/>
          <a:ext cx="1335405" cy="34671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49" name="Line 4"/>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50" name="Line 5"/>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51" name="Line 6"/>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52" name="Line 7"/>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15240</xdr:rowOff>
    </xdr:from>
    <xdr:to>
      <xdr:col>2</xdr:col>
      <xdr:colOff>0</xdr:colOff>
      <xdr:row>17</xdr:row>
      <xdr:rowOff>7620</xdr:rowOff>
    </xdr:to>
    <xdr:sp>
      <xdr:nvSpPr>
        <xdr:cNvPr id="253" name="Line 8"/>
        <xdr:cNvSpPr>
          <a:spLocks noChangeShapeType="1"/>
        </xdr:cNvSpPr>
      </xdr:nvSpPr>
      <xdr:spPr>
        <a:xfrm>
          <a:off x="713105" y="2806065"/>
          <a:ext cx="1335405" cy="34671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54" name="Line 9"/>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55" name="Line 10"/>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56" name="Line 11"/>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57" name="Line 12"/>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58" name="Line 14"/>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59" name="Line 15"/>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60" name="Line 16"/>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61" name="Line 17"/>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62" name="Line 19"/>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63" name="Line 20"/>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64" name="Line 1"/>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65" name="Line 3"/>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66" name="Line 5"/>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67" name="Line 6"/>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68" name="Line 1819"/>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69" name="Line 1820"/>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70" name="Line 1822"/>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71" name="Line 1823"/>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72" name="Line 1824"/>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73" name="Line 1825"/>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74" name="Line 1827"/>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75" name="Line 1828"/>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76" name="Line 1829"/>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77" name="Line 1830"/>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78" name="Line 1832"/>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79" name="Line 1833"/>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80" name="Line 1834"/>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81" name="Line 1835"/>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82" name="Line 1837"/>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83" name="Line 1838"/>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84" name="Line 1"/>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85" name="Line 3"/>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86" name="Line 5"/>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87" name="Line 6"/>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88" name="Line 2649"/>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89" name="Line 2650"/>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90" name="Line 2652"/>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91" name="Line 2653"/>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92" name="Line 2654"/>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93" name="Line 2655"/>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94" name="Line 2657"/>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95" name="Line 2658"/>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96" name="Line 2659"/>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297" name="Line 2660"/>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298" name="Line 2662"/>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299" name="Line 2663"/>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300" name="Line 2664"/>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15</xdr:row>
      <xdr:rowOff>0</xdr:rowOff>
    </xdr:from>
    <xdr:to>
      <xdr:col>1</xdr:col>
      <xdr:colOff>129540</xdr:colOff>
      <xdr:row>15</xdr:row>
      <xdr:rowOff>38100</xdr:rowOff>
    </xdr:to>
    <xdr:sp>
      <xdr:nvSpPr>
        <xdr:cNvPr id="301" name="Line 2665"/>
        <xdr:cNvSpPr>
          <a:spLocks noChangeShapeType="1"/>
        </xdr:cNvSpPr>
      </xdr:nvSpPr>
      <xdr:spPr>
        <a:xfrm>
          <a:off x="713105" y="27908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22</xdr:row>
      <xdr:rowOff>0</xdr:rowOff>
    </xdr:from>
    <xdr:to>
      <xdr:col>1</xdr:col>
      <xdr:colOff>1341120</xdr:colOff>
      <xdr:row>22</xdr:row>
      <xdr:rowOff>0</xdr:rowOff>
    </xdr:to>
    <xdr:sp>
      <xdr:nvSpPr>
        <xdr:cNvPr id="302" name="Line 2667"/>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25</xdr:row>
      <xdr:rowOff>0</xdr:rowOff>
    </xdr:from>
    <xdr:to>
      <xdr:col>1</xdr:col>
      <xdr:colOff>1341120</xdr:colOff>
      <xdr:row>25</xdr:row>
      <xdr:rowOff>0</xdr:rowOff>
    </xdr:to>
    <xdr:sp>
      <xdr:nvSpPr>
        <xdr:cNvPr id="303" name="Line 2668"/>
        <xdr:cNvSpPr>
          <a:spLocks noChangeShapeType="1"/>
        </xdr:cNvSpPr>
      </xdr:nvSpPr>
      <xdr:spPr>
        <a:xfrm flipV="1">
          <a:off x="2000885" y="31527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04" name="Line 1"/>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05" name="Line 3"/>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306" name="Line 4"/>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307" name="Line 5"/>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308" name="Line 6"/>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309" name="Line 1"/>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310" name="Line 3"/>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15240</xdr:rowOff>
    </xdr:from>
    <xdr:to>
      <xdr:col>2</xdr:col>
      <xdr:colOff>0</xdr:colOff>
      <xdr:row>34</xdr:row>
      <xdr:rowOff>7620</xdr:rowOff>
    </xdr:to>
    <xdr:sp>
      <xdr:nvSpPr>
        <xdr:cNvPr id="311" name="Line 4"/>
        <xdr:cNvSpPr>
          <a:spLocks noChangeShapeType="1"/>
        </xdr:cNvSpPr>
      </xdr:nvSpPr>
      <xdr:spPr>
        <a:xfrm>
          <a:off x="713105" y="45396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312" name="Line 1819"/>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313" name="Line 1820"/>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15240</xdr:rowOff>
    </xdr:from>
    <xdr:to>
      <xdr:col>2</xdr:col>
      <xdr:colOff>0</xdr:colOff>
      <xdr:row>34</xdr:row>
      <xdr:rowOff>7620</xdr:rowOff>
    </xdr:to>
    <xdr:sp>
      <xdr:nvSpPr>
        <xdr:cNvPr id="314" name="Line 1821"/>
        <xdr:cNvSpPr>
          <a:spLocks noChangeShapeType="1"/>
        </xdr:cNvSpPr>
      </xdr:nvSpPr>
      <xdr:spPr>
        <a:xfrm>
          <a:off x="713105" y="45396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315" name="Line 1824"/>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316" name="Line 1825"/>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15240</xdr:rowOff>
    </xdr:from>
    <xdr:to>
      <xdr:col>2</xdr:col>
      <xdr:colOff>0</xdr:colOff>
      <xdr:row>34</xdr:row>
      <xdr:rowOff>7620</xdr:rowOff>
    </xdr:to>
    <xdr:sp>
      <xdr:nvSpPr>
        <xdr:cNvPr id="317" name="Line 1826"/>
        <xdr:cNvSpPr>
          <a:spLocks noChangeShapeType="1"/>
        </xdr:cNvSpPr>
      </xdr:nvSpPr>
      <xdr:spPr>
        <a:xfrm>
          <a:off x="713105" y="45396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318" name="Line 1829"/>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319" name="Line 1830"/>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15240</xdr:rowOff>
    </xdr:from>
    <xdr:to>
      <xdr:col>2</xdr:col>
      <xdr:colOff>0</xdr:colOff>
      <xdr:row>34</xdr:row>
      <xdr:rowOff>7620</xdr:rowOff>
    </xdr:to>
    <xdr:sp>
      <xdr:nvSpPr>
        <xdr:cNvPr id="320" name="Line 1831"/>
        <xdr:cNvSpPr>
          <a:spLocks noChangeShapeType="1"/>
        </xdr:cNvSpPr>
      </xdr:nvSpPr>
      <xdr:spPr>
        <a:xfrm>
          <a:off x="713105" y="45396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321" name="Line 1834"/>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322" name="Line 1835"/>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15240</xdr:rowOff>
    </xdr:from>
    <xdr:to>
      <xdr:col>2</xdr:col>
      <xdr:colOff>0</xdr:colOff>
      <xdr:row>34</xdr:row>
      <xdr:rowOff>7620</xdr:rowOff>
    </xdr:to>
    <xdr:sp>
      <xdr:nvSpPr>
        <xdr:cNvPr id="323" name="Line 1836"/>
        <xdr:cNvSpPr>
          <a:spLocks noChangeShapeType="1"/>
        </xdr:cNvSpPr>
      </xdr:nvSpPr>
      <xdr:spPr>
        <a:xfrm>
          <a:off x="713105" y="45396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24" name="Line 1"/>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25" name="Line 2"/>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326" name="Line 3"/>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327" name="Line 4"/>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328" name="Line 5"/>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29" name="Line 6"/>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30" name="Line 7"/>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331" name="Line 8"/>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332" name="Line 9"/>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333" name="Line 10"/>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34" name="Line 11"/>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35" name="Line 12"/>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336" name="Line 13"/>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337" name="Line 14"/>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338" name="Line 15"/>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39" name="Line 16"/>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40" name="Line 17"/>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341" name="Line 18"/>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342" name="Line 19"/>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343" name="Line 20"/>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44" name="Line 1"/>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45" name="Line 2"/>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346" name="Line 3"/>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347" name="Line 4"/>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348" name="Line 5"/>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49" name="Line 6"/>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50" name="Line 7"/>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351" name="Line 8"/>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352" name="Line 9"/>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353" name="Line 10"/>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54" name="Line 11"/>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55" name="Line 12"/>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356" name="Line 13"/>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357" name="Line 14"/>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358" name="Line 15"/>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59" name="Line 16"/>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60" name="Line 17"/>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361" name="Line 18"/>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362" name="Line 19"/>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363" name="Line 20"/>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64" name="Line 1"/>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65" name="Line 3"/>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366" name="Line 4"/>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367" name="Line 5"/>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368" name="Line 6"/>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69" name="Line 1819"/>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70" name="Line 1820"/>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371" name="Line 1821"/>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372" name="Line 1822"/>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373" name="Line 1823"/>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74" name="Line 1824"/>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75" name="Line 1825"/>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376" name="Line 1826"/>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377" name="Line 1827"/>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378" name="Line 1828"/>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79" name="Line 1829"/>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80" name="Line 1830"/>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381" name="Line 1831"/>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382" name="Line 1832"/>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383" name="Line 1833"/>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84" name="Line 1834"/>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85" name="Line 1835"/>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386" name="Line 1836"/>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387" name="Line 1837"/>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388" name="Line 1838"/>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89" name="Line 1"/>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90" name="Line 3"/>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391" name="Line 4"/>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392" name="Line 5"/>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393" name="Line 6"/>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94" name="Line 2649"/>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95" name="Line 2650"/>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396" name="Line 2651"/>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397" name="Line 2652"/>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398" name="Line 2653"/>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399" name="Line 2654"/>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00" name="Line 2655"/>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01" name="Line 2656"/>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02" name="Line 2657"/>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03" name="Line 2658"/>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04" name="Line 2659"/>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05" name="Line 2660"/>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06" name="Line 2661"/>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07" name="Line 2662"/>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08" name="Line 2663"/>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09" name="Line 2664"/>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10" name="Line 2665"/>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11" name="Line 2666"/>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12" name="Line 2667"/>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13" name="Line 2668"/>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414" name="Line 1"/>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415" name="Line 3"/>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15240</xdr:rowOff>
    </xdr:from>
    <xdr:to>
      <xdr:col>2</xdr:col>
      <xdr:colOff>0</xdr:colOff>
      <xdr:row>34</xdr:row>
      <xdr:rowOff>7620</xdr:rowOff>
    </xdr:to>
    <xdr:sp>
      <xdr:nvSpPr>
        <xdr:cNvPr id="416" name="Line 4"/>
        <xdr:cNvSpPr>
          <a:spLocks noChangeShapeType="1"/>
        </xdr:cNvSpPr>
      </xdr:nvSpPr>
      <xdr:spPr>
        <a:xfrm>
          <a:off x="713105" y="45396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417" name="Line 1819"/>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418" name="Line 1820"/>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15240</xdr:rowOff>
    </xdr:from>
    <xdr:to>
      <xdr:col>2</xdr:col>
      <xdr:colOff>0</xdr:colOff>
      <xdr:row>34</xdr:row>
      <xdr:rowOff>7620</xdr:rowOff>
    </xdr:to>
    <xdr:sp>
      <xdr:nvSpPr>
        <xdr:cNvPr id="419" name="Line 1821"/>
        <xdr:cNvSpPr>
          <a:spLocks noChangeShapeType="1"/>
        </xdr:cNvSpPr>
      </xdr:nvSpPr>
      <xdr:spPr>
        <a:xfrm>
          <a:off x="713105" y="45396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420" name="Line 1824"/>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421" name="Line 1825"/>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422" name="Line 1829"/>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423" name="Line 1830"/>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424" name="Line 1834"/>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32</xdr:row>
      <xdr:rowOff>0</xdr:rowOff>
    </xdr:from>
    <xdr:to>
      <xdr:col>1</xdr:col>
      <xdr:colOff>129540</xdr:colOff>
      <xdr:row>32</xdr:row>
      <xdr:rowOff>38100</xdr:rowOff>
    </xdr:to>
    <xdr:sp>
      <xdr:nvSpPr>
        <xdr:cNvPr id="425" name="Line 1835"/>
        <xdr:cNvSpPr>
          <a:spLocks noChangeShapeType="1"/>
        </xdr:cNvSpPr>
      </xdr:nvSpPr>
      <xdr:spPr>
        <a:xfrm>
          <a:off x="713105" y="45243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26" name="Line 1"/>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27" name="Line 2"/>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28" name="Line 3"/>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29" name="Line 4"/>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30" name="Line 5"/>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31" name="Line 6"/>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32" name="Line 7"/>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33" name="Line 8"/>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34" name="Line 9"/>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35" name="Line 10"/>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36" name="Line 11"/>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37" name="Line 12"/>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38" name="Line 13"/>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39" name="Line 14"/>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40" name="Line 15"/>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41" name="Line 16"/>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42" name="Line 17"/>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43" name="Line 18"/>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44" name="Line 19"/>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45" name="Line 20"/>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46" name="Line 1"/>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47" name="Line 2"/>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48" name="Line 3"/>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49" name="Line 4"/>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50" name="Line 5"/>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51" name="Line 6"/>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52" name="Line 7"/>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53" name="Line 8"/>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54" name="Line 9"/>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55" name="Line 10"/>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56" name="Line 11"/>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57" name="Line 12"/>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58" name="Line 13"/>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59" name="Line 14"/>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60" name="Line 15"/>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61" name="Line 16"/>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62" name="Line 17"/>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63" name="Line 18"/>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64" name="Line 19"/>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65" name="Line 20"/>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66" name="Line 1"/>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67" name="Line 3"/>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68" name="Line 4"/>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69" name="Line 5"/>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70" name="Line 6"/>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71" name="Line 1819"/>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72" name="Line 1820"/>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73" name="Line 1821"/>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74" name="Line 1822"/>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75" name="Line 1823"/>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76" name="Line 1824"/>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77" name="Line 1825"/>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78" name="Line 1826"/>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79" name="Line 1827"/>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80" name="Line 1828"/>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81" name="Line 1829"/>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82" name="Line 1830"/>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83" name="Line 1831"/>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84" name="Line 1832"/>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85" name="Line 1833"/>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86" name="Line 1834"/>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87" name="Line 1835"/>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88" name="Line 1836"/>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89" name="Line 1837"/>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90" name="Line 1838"/>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91" name="Line 1"/>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92" name="Line 3"/>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93" name="Line 4"/>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94" name="Line 5"/>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495" name="Line 6"/>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96" name="Line 2649"/>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497" name="Line 2650"/>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15240</xdr:rowOff>
    </xdr:from>
    <xdr:to>
      <xdr:col>2</xdr:col>
      <xdr:colOff>0</xdr:colOff>
      <xdr:row>30</xdr:row>
      <xdr:rowOff>7620</xdr:rowOff>
    </xdr:to>
    <xdr:sp>
      <xdr:nvSpPr>
        <xdr:cNvPr id="498" name="Line 2651"/>
        <xdr:cNvSpPr>
          <a:spLocks noChangeShapeType="1"/>
        </xdr:cNvSpPr>
      </xdr:nvSpPr>
      <xdr:spPr>
        <a:xfrm>
          <a:off x="713105"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499" name="Line 2652"/>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500" name="Line 2653"/>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501" name="Line 2654"/>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502" name="Line 2655"/>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17145</xdr:colOff>
      <xdr:row>28</xdr:row>
      <xdr:rowOff>15240</xdr:rowOff>
    </xdr:from>
    <xdr:to>
      <xdr:col>1</xdr:col>
      <xdr:colOff>1352550</xdr:colOff>
      <xdr:row>30</xdr:row>
      <xdr:rowOff>7620</xdr:rowOff>
    </xdr:to>
    <xdr:sp>
      <xdr:nvSpPr>
        <xdr:cNvPr id="503" name="Line 2656"/>
        <xdr:cNvSpPr>
          <a:spLocks noChangeShapeType="1"/>
        </xdr:cNvSpPr>
      </xdr:nvSpPr>
      <xdr:spPr>
        <a:xfrm>
          <a:off x="684530" y="3625215"/>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504" name="Line 2657"/>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505" name="Line 2658"/>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506" name="Line 2659"/>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507" name="Line 2660"/>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508" name="Line 2662"/>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509" name="Line 2663"/>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510" name="Line 2664"/>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28</xdr:row>
      <xdr:rowOff>0</xdr:rowOff>
    </xdr:from>
    <xdr:to>
      <xdr:col>1</xdr:col>
      <xdr:colOff>129540</xdr:colOff>
      <xdr:row>28</xdr:row>
      <xdr:rowOff>38100</xdr:rowOff>
    </xdr:to>
    <xdr:sp>
      <xdr:nvSpPr>
        <xdr:cNvPr id="511" name="Line 2665"/>
        <xdr:cNvSpPr>
          <a:spLocks noChangeShapeType="1"/>
        </xdr:cNvSpPr>
      </xdr:nvSpPr>
      <xdr:spPr>
        <a:xfrm>
          <a:off x="713105" y="360997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35</xdr:row>
      <xdr:rowOff>0</xdr:rowOff>
    </xdr:from>
    <xdr:to>
      <xdr:col>1</xdr:col>
      <xdr:colOff>1341120</xdr:colOff>
      <xdr:row>35</xdr:row>
      <xdr:rowOff>0</xdr:rowOff>
    </xdr:to>
    <xdr:sp>
      <xdr:nvSpPr>
        <xdr:cNvPr id="512" name="Line 2667"/>
        <xdr:cNvSpPr>
          <a:spLocks noChangeShapeType="1"/>
        </xdr:cNvSpPr>
      </xdr:nvSpPr>
      <xdr:spPr>
        <a:xfrm flipV="1">
          <a:off x="2000885" y="52101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38</xdr:row>
      <xdr:rowOff>0</xdr:rowOff>
    </xdr:from>
    <xdr:to>
      <xdr:col>1</xdr:col>
      <xdr:colOff>1341120</xdr:colOff>
      <xdr:row>38</xdr:row>
      <xdr:rowOff>0</xdr:rowOff>
    </xdr:to>
    <xdr:sp>
      <xdr:nvSpPr>
        <xdr:cNvPr id="513" name="Line 2668"/>
        <xdr:cNvSpPr>
          <a:spLocks noChangeShapeType="1"/>
        </xdr:cNvSpPr>
      </xdr:nvSpPr>
      <xdr:spPr>
        <a:xfrm flipV="1">
          <a:off x="2000885" y="58959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0</xdr:rowOff>
    </xdr:from>
    <xdr:to>
      <xdr:col>1</xdr:col>
      <xdr:colOff>133350</xdr:colOff>
      <xdr:row>1</xdr:row>
      <xdr:rowOff>38100</xdr:rowOff>
    </xdr:to>
    <xdr:sp>
      <xdr:nvSpPr>
        <xdr:cNvPr id="514" name="Line 1"/>
        <xdr:cNvSpPr>
          <a:spLocks noChangeShapeType="1"/>
        </xdr:cNvSpPr>
      </xdr:nvSpPr>
      <xdr:spPr>
        <a:xfrm>
          <a:off x="715010" y="238125"/>
          <a:ext cx="85725"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0</xdr:rowOff>
    </xdr:from>
    <xdr:to>
      <xdr:col>1</xdr:col>
      <xdr:colOff>133350</xdr:colOff>
      <xdr:row>1</xdr:row>
      <xdr:rowOff>38100</xdr:rowOff>
    </xdr:to>
    <xdr:sp>
      <xdr:nvSpPr>
        <xdr:cNvPr id="515" name="Line 2"/>
        <xdr:cNvSpPr>
          <a:spLocks noChangeShapeType="1"/>
        </xdr:cNvSpPr>
      </xdr:nvSpPr>
      <xdr:spPr>
        <a:xfrm>
          <a:off x="715010" y="238125"/>
          <a:ext cx="85725"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19050</xdr:rowOff>
    </xdr:from>
    <xdr:to>
      <xdr:col>2</xdr:col>
      <xdr:colOff>0</xdr:colOff>
      <xdr:row>3</xdr:row>
      <xdr:rowOff>9525</xdr:rowOff>
    </xdr:to>
    <xdr:sp>
      <xdr:nvSpPr>
        <xdr:cNvPr id="516" name="Line 3"/>
        <xdr:cNvSpPr>
          <a:spLocks noChangeShapeType="1"/>
        </xdr:cNvSpPr>
      </xdr:nvSpPr>
      <xdr:spPr>
        <a:xfrm>
          <a:off x="715010" y="257175"/>
          <a:ext cx="1333500" cy="35242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1343025</xdr:colOff>
      <xdr:row>8</xdr:row>
      <xdr:rowOff>0</xdr:rowOff>
    </xdr:to>
    <xdr:sp>
      <xdr:nvSpPr>
        <xdr:cNvPr id="517" name="Line 4"/>
        <xdr:cNvSpPr>
          <a:spLocks noChangeShapeType="1"/>
        </xdr:cNvSpPr>
      </xdr:nvSpPr>
      <xdr:spPr>
        <a:xfrm flipV="1">
          <a:off x="2000885" y="1504950"/>
          <a:ext cx="95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1343025</xdr:colOff>
      <xdr:row>12</xdr:row>
      <xdr:rowOff>0</xdr:rowOff>
    </xdr:to>
    <xdr:sp>
      <xdr:nvSpPr>
        <xdr:cNvPr id="518" name="Line 5"/>
        <xdr:cNvSpPr>
          <a:spLocks noChangeShapeType="1"/>
        </xdr:cNvSpPr>
      </xdr:nvSpPr>
      <xdr:spPr>
        <a:xfrm flipV="1">
          <a:off x="2000885" y="2228850"/>
          <a:ext cx="95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0</xdr:rowOff>
    </xdr:from>
    <xdr:to>
      <xdr:col>1</xdr:col>
      <xdr:colOff>133350</xdr:colOff>
      <xdr:row>1</xdr:row>
      <xdr:rowOff>38100</xdr:rowOff>
    </xdr:to>
    <xdr:sp>
      <xdr:nvSpPr>
        <xdr:cNvPr id="519" name="Line 6"/>
        <xdr:cNvSpPr>
          <a:spLocks noChangeShapeType="1"/>
        </xdr:cNvSpPr>
      </xdr:nvSpPr>
      <xdr:spPr>
        <a:xfrm>
          <a:off x="715010" y="238125"/>
          <a:ext cx="85725"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0</xdr:rowOff>
    </xdr:from>
    <xdr:to>
      <xdr:col>1</xdr:col>
      <xdr:colOff>133350</xdr:colOff>
      <xdr:row>1</xdr:row>
      <xdr:rowOff>38100</xdr:rowOff>
    </xdr:to>
    <xdr:sp>
      <xdr:nvSpPr>
        <xdr:cNvPr id="520" name="Line 7"/>
        <xdr:cNvSpPr>
          <a:spLocks noChangeShapeType="1"/>
        </xdr:cNvSpPr>
      </xdr:nvSpPr>
      <xdr:spPr>
        <a:xfrm>
          <a:off x="715010" y="238125"/>
          <a:ext cx="85725"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19050</xdr:rowOff>
    </xdr:from>
    <xdr:to>
      <xdr:col>2</xdr:col>
      <xdr:colOff>0</xdr:colOff>
      <xdr:row>3</xdr:row>
      <xdr:rowOff>9525</xdr:rowOff>
    </xdr:to>
    <xdr:sp>
      <xdr:nvSpPr>
        <xdr:cNvPr id="521" name="Line 8"/>
        <xdr:cNvSpPr>
          <a:spLocks noChangeShapeType="1"/>
        </xdr:cNvSpPr>
      </xdr:nvSpPr>
      <xdr:spPr>
        <a:xfrm>
          <a:off x="715010" y="257175"/>
          <a:ext cx="1333500" cy="35242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1343025</xdr:colOff>
      <xdr:row>8</xdr:row>
      <xdr:rowOff>0</xdr:rowOff>
    </xdr:to>
    <xdr:sp>
      <xdr:nvSpPr>
        <xdr:cNvPr id="522" name="Line 9"/>
        <xdr:cNvSpPr>
          <a:spLocks noChangeShapeType="1"/>
        </xdr:cNvSpPr>
      </xdr:nvSpPr>
      <xdr:spPr>
        <a:xfrm flipV="1">
          <a:off x="2000885" y="1504950"/>
          <a:ext cx="95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1343025</xdr:colOff>
      <xdr:row>12</xdr:row>
      <xdr:rowOff>0</xdr:rowOff>
    </xdr:to>
    <xdr:sp>
      <xdr:nvSpPr>
        <xdr:cNvPr id="523" name="Line 10"/>
        <xdr:cNvSpPr>
          <a:spLocks noChangeShapeType="1"/>
        </xdr:cNvSpPr>
      </xdr:nvSpPr>
      <xdr:spPr>
        <a:xfrm flipV="1">
          <a:off x="2000885" y="2228850"/>
          <a:ext cx="95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0</xdr:rowOff>
    </xdr:from>
    <xdr:to>
      <xdr:col>1</xdr:col>
      <xdr:colOff>133350</xdr:colOff>
      <xdr:row>1</xdr:row>
      <xdr:rowOff>38100</xdr:rowOff>
    </xdr:to>
    <xdr:sp>
      <xdr:nvSpPr>
        <xdr:cNvPr id="524" name="Line 11"/>
        <xdr:cNvSpPr>
          <a:spLocks noChangeShapeType="1"/>
        </xdr:cNvSpPr>
      </xdr:nvSpPr>
      <xdr:spPr>
        <a:xfrm>
          <a:off x="715010" y="238125"/>
          <a:ext cx="85725"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0</xdr:rowOff>
    </xdr:from>
    <xdr:to>
      <xdr:col>1</xdr:col>
      <xdr:colOff>133350</xdr:colOff>
      <xdr:row>1</xdr:row>
      <xdr:rowOff>38100</xdr:rowOff>
    </xdr:to>
    <xdr:sp>
      <xdr:nvSpPr>
        <xdr:cNvPr id="525" name="Line 12"/>
        <xdr:cNvSpPr>
          <a:spLocks noChangeShapeType="1"/>
        </xdr:cNvSpPr>
      </xdr:nvSpPr>
      <xdr:spPr>
        <a:xfrm>
          <a:off x="715010" y="238125"/>
          <a:ext cx="85725"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19050</xdr:rowOff>
    </xdr:from>
    <xdr:to>
      <xdr:col>2</xdr:col>
      <xdr:colOff>0</xdr:colOff>
      <xdr:row>3</xdr:row>
      <xdr:rowOff>9525</xdr:rowOff>
    </xdr:to>
    <xdr:sp>
      <xdr:nvSpPr>
        <xdr:cNvPr id="526" name="Line 13"/>
        <xdr:cNvSpPr>
          <a:spLocks noChangeShapeType="1"/>
        </xdr:cNvSpPr>
      </xdr:nvSpPr>
      <xdr:spPr>
        <a:xfrm>
          <a:off x="715010" y="257175"/>
          <a:ext cx="1333500" cy="35242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1343025</xdr:colOff>
      <xdr:row>8</xdr:row>
      <xdr:rowOff>0</xdr:rowOff>
    </xdr:to>
    <xdr:sp>
      <xdr:nvSpPr>
        <xdr:cNvPr id="527" name="Line 14"/>
        <xdr:cNvSpPr>
          <a:spLocks noChangeShapeType="1"/>
        </xdr:cNvSpPr>
      </xdr:nvSpPr>
      <xdr:spPr>
        <a:xfrm flipV="1">
          <a:off x="2000885" y="1504950"/>
          <a:ext cx="95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1343025</xdr:colOff>
      <xdr:row>12</xdr:row>
      <xdr:rowOff>0</xdr:rowOff>
    </xdr:to>
    <xdr:sp>
      <xdr:nvSpPr>
        <xdr:cNvPr id="528" name="Line 15"/>
        <xdr:cNvSpPr>
          <a:spLocks noChangeShapeType="1"/>
        </xdr:cNvSpPr>
      </xdr:nvSpPr>
      <xdr:spPr>
        <a:xfrm flipV="1">
          <a:off x="2000885" y="2228850"/>
          <a:ext cx="95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0</xdr:rowOff>
    </xdr:from>
    <xdr:to>
      <xdr:col>1</xdr:col>
      <xdr:colOff>133350</xdr:colOff>
      <xdr:row>1</xdr:row>
      <xdr:rowOff>38100</xdr:rowOff>
    </xdr:to>
    <xdr:sp>
      <xdr:nvSpPr>
        <xdr:cNvPr id="529" name="Line 16"/>
        <xdr:cNvSpPr>
          <a:spLocks noChangeShapeType="1"/>
        </xdr:cNvSpPr>
      </xdr:nvSpPr>
      <xdr:spPr>
        <a:xfrm>
          <a:off x="715010" y="238125"/>
          <a:ext cx="85725"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0</xdr:rowOff>
    </xdr:from>
    <xdr:to>
      <xdr:col>1</xdr:col>
      <xdr:colOff>133350</xdr:colOff>
      <xdr:row>1</xdr:row>
      <xdr:rowOff>38100</xdr:rowOff>
    </xdr:to>
    <xdr:sp>
      <xdr:nvSpPr>
        <xdr:cNvPr id="530" name="Line 17"/>
        <xdr:cNvSpPr>
          <a:spLocks noChangeShapeType="1"/>
        </xdr:cNvSpPr>
      </xdr:nvSpPr>
      <xdr:spPr>
        <a:xfrm>
          <a:off x="715010" y="238125"/>
          <a:ext cx="85725"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19050</xdr:rowOff>
    </xdr:from>
    <xdr:to>
      <xdr:col>2</xdr:col>
      <xdr:colOff>0</xdr:colOff>
      <xdr:row>3</xdr:row>
      <xdr:rowOff>9525</xdr:rowOff>
    </xdr:to>
    <xdr:sp>
      <xdr:nvSpPr>
        <xdr:cNvPr id="531" name="Line 18"/>
        <xdr:cNvSpPr>
          <a:spLocks noChangeShapeType="1"/>
        </xdr:cNvSpPr>
      </xdr:nvSpPr>
      <xdr:spPr>
        <a:xfrm>
          <a:off x="715010" y="257175"/>
          <a:ext cx="1333500" cy="35242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1343025</xdr:colOff>
      <xdr:row>8</xdr:row>
      <xdr:rowOff>0</xdr:rowOff>
    </xdr:to>
    <xdr:sp>
      <xdr:nvSpPr>
        <xdr:cNvPr id="532" name="Line 19"/>
        <xdr:cNvSpPr>
          <a:spLocks noChangeShapeType="1"/>
        </xdr:cNvSpPr>
      </xdr:nvSpPr>
      <xdr:spPr>
        <a:xfrm flipV="1">
          <a:off x="2000885" y="1504950"/>
          <a:ext cx="95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12</xdr:row>
      <xdr:rowOff>0</xdr:rowOff>
    </xdr:from>
    <xdr:to>
      <xdr:col>1</xdr:col>
      <xdr:colOff>1343025</xdr:colOff>
      <xdr:row>12</xdr:row>
      <xdr:rowOff>0</xdr:rowOff>
    </xdr:to>
    <xdr:sp>
      <xdr:nvSpPr>
        <xdr:cNvPr id="533" name="Line 20"/>
        <xdr:cNvSpPr>
          <a:spLocks noChangeShapeType="1"/>
        </xdr:cNvSpPr>
      </xdr:nvSpPr>
      <xdr:spPr>
        <a:xfrm flipV="1">
          <a:off x="2000885" y="2228850"/>
          <a:ext cx="95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45720</xdr:colOff>
      <xdr:row>1</xdr:row>
      <xdr:rowOff>0</xdr:rowOff>
    </xdr:from>
    <xdr:to>
      <xdr:col>1</xdr:col>
      <xdr:colOff>129540</xdr:colOff>
      <xdr:row>1</xdr:row>
      <xdr:rowOff>38100</xdr:rowOff>
    </xdr:to>
    <xdr:sp>
      <xdr:nvSpPr>
        <xdr:cNvPr id="2"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3" name="Line 3"/>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4" name="Line 4"/>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5" name="Line 5"/>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6" name="Line 6"/>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7" name="Line 1"/>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8" name="Line 3"/>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15240</xdr:rowOff>
    </xdr:from>
    <xdr:to>
      <xdr:col>2</xdr:col>
      <xdr:colOff>0</xdr:colOff>
      <xdr:row>7</xdr:row>
      <xdr:rowOff>7620</xdr:rowOff>
    </xdr:to>
    <xdr:sp>
      <xdr:nvSpPr>
        <xdr:cNvPr id="9" name="Line 4"/>
        <xdr:cNvSpPr>
          <a:spLocks noChangeShapeType="1"/>
        </xdr:cNvSpPr>
      </xdr:nvSpPr>
      <xdr:spPr>
        <a:xfrm>
          <a:off x="713105" y="9772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0" name="Line 1819"/>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 name="Line 1820"/>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15240</xdr:rowOff>
    </xdr:from>
    <xdr:to>
      <xdr:col>2</xdr:col>
      <xdr:colOff>0</xdr:colOff>
      <xdr:row>7</xdr:row>
      <xdr:rowOff>7620</xdr:rowOff>
    </xdr:to>
    <xdr:sp>
      <xdr:nvSpPr>
        <xdr:cNvPr id="12" name="Line 1821"/>
        <xdr:cNvSpPr>
          <a:spLocks noChangeShapeType="1"/>
        </xdr:cNvSpPr>
      </xdr:nvSpPr>
      <xdr:spPr>
        <a:xfrm>
          <a:off x="713105" y="9772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3" name="Line 1824"/>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4" name="Line 1825"/>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15240</xdr:rowOff>
    </xdr:from>
    <xdr:to>
      <xdr:col>2</xdr:col>
      <xdr:colOff>0</xdr:colOff>
      <xdr:row>7</xdr:row>
      <xdr:rowOff>7620</xdr:rowOff>
    </xdr:to>
    <xdr:sp>
      <xdr:nvSpPr>
        <xdr:cNvPr id="15" name="Line 1826"/>
        <xdr:cNvSpPr>
          <a:spLocks noChangeShapeType="1"/>
        </xdr:cNvSpPr>
      </xdr:nvSpPr>
      <xdr:spPr>
        <a:xfrm>
          <a:off x="713105" y="9772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6" name="Line 1829"/>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7" name="Line 1830"/>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15240</xdr:rowOff>
    </xdr:from>
    <xdr:to>
      <xdr:col>2</xdr:col>
      <xdr:colOff>0</xdr:colOff>
      <xdr:row>7</xdr:row>
      <xdr:rowOff>7620</xdr:rowOff>
    </xdr:to>
    <xdr:sp>
      <xdr:nvSpPr>
        <xdr:cNvPr id="18" name="Line 1831"/>
        <xdr:cNvSpPr>
          <a:spLocks noChangeShapeType="1"/>
        </xdr:cNvSpPr>
      </xdr:nvSpPr>
      <xdr:spPr>
        <a:xfrm>
          <a:off x="713105" y="9772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9" name="Line 1834"/>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20" name="Line 1835"/>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21"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22" name="Line 2"/>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23" name="Line 3"/>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24" name="Line 4"/>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25" name="Line 5"/>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26" name="Line 6"/>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27" name="Line 7"/>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28" name="Line 8"/>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29" name="Line 9"/>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30" name="Line 10"/>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31" name="Line 1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32" name="Line 12"/>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33" name="Line 13"/>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34" name="Line 14"/>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35" name="Line 15"/>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36" name="Line 16"/>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37" name="Line 17"/>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38" name="Line 18"/>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39" name="Line 19"/>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40" name="Line 20"/>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41"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42" name="Line 2"/>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43" name="Line 3"/>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44" name="Line 4"/>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45" name="Line 5"/>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46" name="Line 6"/>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47" name="Line 7"/>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48" name="Line 8"/>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49" name="Line 9"/>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50" name="Line 10"/>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51" name="Line 1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52" name="Line 12"/>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53" name="Line 13"/>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54" name="Line 14"/>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55" name="Line 15"/>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56" name="Line 16"/>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57" name="Line 17"/>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58" name="Line 18"/>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59" name="Line 19"/>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60" name="Line 20"/>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61"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62" name="Line 3"/>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63" name="Line 4"/>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64" name="Line 5"/>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65" name="Line 6"/>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66" name="Line 1819"/>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67" name="Line 1820"/>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68" name="Line 1821"/>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69" name="Line 1822"/>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70" name="Line 1823"/>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71" name="Line 1824"/>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72" name="Line 1825"/>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73" name="Line 1826"/>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74" name="Line 1827"/>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75" name="Line 1828"/>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76" name="Line 1829"/>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77" name="Line 1830"/>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78" name="Line 1831"/>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79" name="Line 1832"/>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80" name="Line 1833"/>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81" name="Line 1834"/>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82" name="Line 1835"/>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83" name="Line 1836"/>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84" name="Line 1837"/>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85" name="Line 1838"/>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86"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87" name="Line 3"/>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88" name="Line 4"/>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89" name="Line 5"/>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90" name="Line 6"/>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91" name="Line 2649"/>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92" name="Line 2650"/>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93" name="Line 2651"/>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94" name="Line 2652"/>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95" name="Line 2653"/>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96" name="Line 2654"/>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97" name="Line 2655"/>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98" name="Line 2656"/>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99" name="Line 2657"/>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00" name="Line 2658"/>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01" name="Line 2659"/>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02" name="Line 2660"/>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03" name="Line 2661"/>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04" name="Line 2662"/>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05" name="Line 2663"/>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06" name="Line 2664"/>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07" name="Line 2665"/>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08" name="Line 2666"/>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09" name="Line 2667"/>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10" name="Line 2668"/>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1" name="Line 1"/>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2" name="Line 3"/>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3" name="Line 1819"/>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4" name="Line 1820"/>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5" name="Line 1824"/>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6" name="Line 1825"/>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7" name="Line 1829"/>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8" name="Line 1830"/>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19" name="Line 1834"/>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5</xdr:row>
      <xdr:rowOff>0</xdr:rowOff>
    </xdr:from>
    <xdr:to>
      <xdr:col>1</xdr:col>
      <xdr:colOff>129540</xdr:colOff>
      <xdr:row>5</xdr:row>
      <xdr:rowOff>38100</xdr:rowOff>
    </xdr:to>
    <xdr:sp>
      <xdr:nvSpPr>
        <xdr:cNvPr id="120" name="Line 1835"/>
        <xdr:cNvSpPr>
          <a:spLocks noChangeShapeType="1"/>
        </xdr:cNvSpPr>
      </xdr:nvSpPr>
      <xdr:spPr>
        <a:xfrm>
          <a:off x="713105" y="9620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21"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22" name="Line 2"/>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23" name="Line 3"/>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24" name="Line 4"/>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25" name="Line 5"/>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26" name="Line 6"/>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27" name="Line 7"/>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28" name="Line 8"/>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29" name="Line 9"/>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30" name="Line 10"/>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31" name="Line 1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32" name="Line 12"/>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33" name="Line 13"/>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34" name="Line 14"/>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35" name="Line 15"/>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36" name="Line 16"/>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37" name="Line 17"/>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38" name="Line 18"/>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39" name="Line 19"/>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40" name="Line 20"/>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41"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42" name="Line 2"/>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43" name="Line 3"/>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44" name="Line 4"/>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45" name="Line 5"/>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46" name="Line 6"/>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47" name="Line 7"/>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48" name="Line 8"/>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49" name="Line 9"/>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50" name="Line 10"/>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51" name="Line 1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52" name="Line 12"/>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53" name="Line 13"/>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54" name="Line 14"/>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55" name="Line 15"/>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56" name="Line 16"/>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57" name="Line 17"/>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58" name="Line 18"/>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59" name="Line 19"/>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60" name="Line 20"/>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61"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62" name="Line 3"/>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63" name="Line 4"/>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64" name="Line 5"/>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65" name="Line 6"/>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66" name="Line 1819"/>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67" name="Line 1820"/>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68" name="Line 1821"/>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69" name="Line 1822"/>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70" name="Line 1823"/>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71" name="Line 1824"/>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72" name="Line 1825"/>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73" name="Line 1826"/>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74" name="Line 1827"/>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75" name="Line 1828"/>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76" name="Line 1829"/>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77" name="Line 1830"/>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78" name="Line 1831"/>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79" name="Line 1832"/>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80" name="Line 1833"/>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81" name="Line 1834"/>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82" name="Line 1835"/>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83" name="Line 1836"/>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84" name="Line 1837"/>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85" name="Line 1838"/>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86" name="Line 1"/>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87" name="Line 3"/>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88" name="Line 4"/>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89" name="Line 5"/>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90" name="Line 6"/>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91" name="Line 2649"/>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92" name="Line 2650"/>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93" name="Line 2651"/>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94" name="Line 2652"/>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195" name="Line 2653"/>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96" name="Line 2654"/>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197" name="Line 2655"/>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198" name="Line 2656"/>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199" name="Line 2657"/>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200" name="Line 2658"/>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201" name="Line 2659"/>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202" name="Line 2660"/>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203" name="Line 2661"/>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204" name="Line 2662"/>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205" name="Line 2663"/>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206" name="Line 2664"/>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0</xdr:rowOff>
    </xdr:from>
    <xdr:to>
      <xdr:col>1</xdr:col>
      <xdr:colOff>129540</xdr:colOff>
      <xdr:row>1</xdr:row>
      <xdr:rowOff>38100</xdr:rowOff>
    </xdr:to>
    <xdr:sp>
      <xdr:nvSpPr>
        <xdr:cNvPr id="207" name="Line 2665"/>
        <xdr:cNvSpPr>
          <a:spLocks noChangeShapeType="1"/>
        </xdr:cNvSpPr>
      </xdr:nvSpPr>
      <xdr:spPr>
        <a:xfrm>
          <a:off x="713105" y="238125"/>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xdr:row>
      <xdr:rowOff>15240</xdr:rowOff>
    </xdr:from>
    <xdr:to>
      <xdr:col>2</xdr:col>
      <xdr:colOff>0</xdr:colOff>
      <xdr:row>3</xdr:row>
      <xdr:rowOff>7620</xdr:rowOff>
    </xdr:to>
    <xdr:sp>
      <xdr:nvSpPr>
        <xdr:cNvPr id="208" name="Line 2666"/>
        <xdr:cNvSpPr>
          <a:spLocks noChangeShapeType="1"/>
        </xdr:cNvSpPr>
      </xdr:nvSpPr>
      <xdr:spPr>
        <a:xfrm>
          <a:off x="713105" y="253365"/>
          <a:ext cx="1335405" cy="35433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1341120</xdr:colOff>
      <xdr:row>8</xdr:row>
      <xdr:rowOff>0</xdr:rowOff>
    </xdr:to>
    <xdr:sp>
      <xdr:nvSpPr>
        <xdr:cNvPr id="209" name="Line 2667"/>
        <xdr:cNvSpPr>
          <a:spLocks noChangeShapeType="1"/>
        </xdr:cNvSpPr>
      </xdr:nvSpPr>
      <xdr:spPr>
        <a:xfrm flipV="1">
          <a:off x="2000885" y="150495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1341120</xdr:colOff>
      <xdr:row>11</xdr:row>
      <xdr:rowOff>0</xdr:rowOff>
    </xdr:to>
    <xdr:sp>
      <xdr:nvSpPr>
        <xdr:cNvPr id="210" name="Line 2668"/>
        <xdr:cNvSpPr>
          <a:spLocks noChangeShapeType="1"/>
        </xdr:cNvSpPr>
      </xdr:nvSpPr>
      <xdr:spPr>
        <a:xfrm flipV="1">
          <a:off x="2000885" y="2047875"/>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18</xdr:row>
      <xdr:rowOff>0</xdr:rowOff>
    </xdr:from>
    <xdr:to>
      <xdr:col>1</xdr:col>
      <xdr:colOff>129540</xdr:colOff>
      <xdr:row>18</xdr:row>
      <xdr:rowOff>38100</xdr:rowOff>
    </xdr:to>
    <xdr:sp>
      <xdr:nvSpPr>
        <xdr:cNvPr id="211" name="Line 1"/>
        <xdr:cNvSpPr>
          <a:spLocks noChangeShapeType="1"/>
        </xdr:cNvSpPr>
      </xdr:nvSpPr>
      <xdr:spPr>
        <a:xfrm>
          <a:off x="713105" y="2971800"/>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18</xdr:row>
      <xdr:rowOff>0</xdr:rowOff>
    </xdr:from>
    <xdr:to>
      <xdr:col>1</xdr:col>
      <xdr:colOff>129540</xdr:colOff>
      <xdr:row>18</xdr:row>
      <xdr:rowOff>38100</xdr:rowOff>
    </xdr:to>
    <xdr:sp>
      <xdr:nvSpPr>
        <xdr:cNvPr id="212" name="Line 3"/>
        <xdr:cNvSpPr>
          <a:spLocks noChangeShapeType="1"/>
        </xdr:cNvSpPr>
      </xdr:nvSpPr>
      <xdr:spPr>
        <a:xfrm>
          <a:off x="713105" y="2971800"/>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18</xdr:row>
      <xdr:rowOff>15240</xdr:rowOff>
    </xdr:from>
    <xdr:to>
      <xdr:col>2</xdr:col>
      <xdr:colOff>0</xdr:colOff>
      <xdr:row>20</xdr:row>
      <xdr:rowOff>7620</xdr:rowOff>
    </xdr:to>
    <xdr:sp>
      <xdr:nvSpPr>
        <xdr:cNvPr id="213" name="Line 4"/>
        <xdr:cNvSpPr>
          <a:spLocks noChangeShapeType="1"/>
        </xdr:cNvSpPr>
      </xdr:nvSpPr>
      <xdr:spPr>
        <a:xfrm>
          <a:off x="713105" y="2971800"/>
          <a:ext cx="133540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18</xdr:row>
      <xdr:rowOff>0</xdr:rowOff>
    </xdr:from>
    <xdr:to>
      <xdr:col>1</xdr:col>
      <xdr:colOff>129540</xdr:colOff>
      <xdr:row>18</xdr:row>
      <xdr:rowOff>38100</xdr:rowOff>
    </xdr:to>
    <xdr:sp>
      <xdr:nvSpPr>
        <xdr:cNvPr id="214" name="Line 1819"/>
        <xdr:cNvSpPr>
          <a:spLocks noChangeShapeType="1"/>
        </xdr:cNvSpPr>
      </xdr:nvSpPr>
      <xdr:spPr>
        <a:xfrm>
          <a:off x="713105" y="2971800"/>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18</xdr:row>
      <xdr:rowOff>0</xdr:rowOff>
    </xdr:from>
    <xdr:to>
      <xdr:col>1</xdr:col>
      <xdr:colOff>129540</xdr:colOff>
      <xdr:row>18</xdr:row>
      <xdr:rowOff>38100</xdr:rowOff>
    </xdr:to>
    <xdr:sp>
      <xdr:nvSpPr>
        <xdr:cNvPr id="215" name="Line 1820"/>
        <xdr:cNvSpPr>
          <a:spLocks noChangeShapeType="1"/>
        </xdr:cNvSpPr>
      </xdr:nvSpPr>
      <xdr:spPr>
        <a:xfrm>
          <a:off x="713105" y="2971800"/>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18</xdr:row>
      <xdr:rowOff>15240</xdr:rowOff>
    </xdr:from>
    <xdr:to>
      <xdr:col>2</xdr:col>
      <xdr:colOff>0</xdr:colOff>
      <xdr:row>20</xdr:row>
      <xdr:rowOff>7620</xdr:rowOff>
    </xdr:to>
    <xdr:sp>
      <xdr:nvSpPr>
        <xdr:cNvPr id="216" name="Line 1821"/>
        <xdr:cNvSpPr>
          <a:spLocks noChangeShapeType="1"/>
        </xdr:cNvSpPr>
      </xdr:nvSpPr>
      <xdr:spPr>
        <a:xfrm>
          <a:off x="713105" y="2971800"/>
          <a:ext cx="133540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18</xdr:row>
      <xdr:rowOff>0</xdr:rowOff>
    </xdr:from>
    <xdr:to>
      <xdr:col>1</xdr:col>
      <xdr:colOff>129540</xdr:colOff>
      <xdr:row>18</xdr:row>
      <xdr:rowOff>38100</xdr:rowOff>
    </xdr:to>
    <xdr:sp>
      <xdr:nvSpPr>
        <xdr:cNvPr id="217" name="Line 1824"/>
        <xdr:cNvSpPr>
          <a:spLocks noChangeShapeType="1"/>
        </xdr:cNvSpPr>
      </xdr:nvSpPr>
      <xdr:spPr>
        <a:xfrm>
          <a:off x="713105" y="2971800"/>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18</xdr:row>
      <xdr:rowOff>0</xdr:rowOff>
    </xdr:from>
    <xdr:to>
      <xdr:col>1</xdr:col>
      <xdr:colOff>129540</xdr:colOff>
      <xdr:row>18</xdr:row>
      <xdr:rowOff>38100</xdr:rowOff>
    </xdr:to>
    <xdr:sp>
      <xdr:nvSpPr>
        <xdr:cNvPr id="218" name="Line 1825"/>
        <xdr:cNvSpPr>
          <a:spLocks noChangeShapeType="1"/>
        </xdr:cNvSpPr>
      </xdr:nvSpPr>
      <xdr:spPr>
        <a:xfrm>
          <a:off x="713105" y="2971800"/>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18</xdr:row>
      <xdr:rowOff>15240</xdr:rowOff>
    </xdr:from>
    <xdr:to>
      <xdr:col>2</xdr:col>
      <xdr:colOff>0</xdr:colOff>
      <xdr:row>20</xdr:row>
      <xdr:rowOff>7620</xdr:rowOff>
    </xdr:to>
    <xdr:sp>
      <xdr:nvSpPr>
        <xdr:cNvPr id="219" name="Line 1826"/>
        <xdr:cNvSpPr>
          <a:spLocks noChangeShapeType="1"/>
        </xdr:cNvSpPr>
      </xdr:nvSpPr>
      <xdr:spPr>
        <a:xfrm>
          <a:off x="713105" y="2971800"/>
          <a:ext cx="133540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18</xdr:row>
      <xdr:rowOff>0</xdr:rowOff>
    </xdr:from>
    <xdr:to>
      <xdr:col>1</xdr:col>
      <xdr:colOff>129540</xdr:colOff>
      <xdr:row>18</xdr:row>
      <xdr:rowOff>38100</xdr:rowOff>
    </xdr:to>
    <xdr:sp>
      <xdr:nvSpPr>
        <xdr:cNvPr id="220" name="Line 1829"/>
        <xdr:cNvSpPr>
          <a:spLocks noChangeShapeType="1"/>
        </xdr:cNvSpPr>
      </xdr:nvSpPr>
      <xdr:spPr>
        <a:xfrm>
          <a:off x="713105" y="2971800"/>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18</xdr:row>
      <xdr:rowOff>0</xdr:rowOff>
    </xdr:from>
    <xdr:to>
      <xdr:col>1</xdr:col>
      <xdr:colOff>129540</xdr:colOff>
      <xdr:row>18</xdr:row>
      <xdr:rowOff>38100</xdr:rowOff>
    </xdr:to>
    <xdr:sp>
      <xdr:nvSpPr>
        <xdr:cNvPr id="221" name="Line 1830"/>
        <xdr:cNvSpPr>
          <a:spLocks noChangeShapeType="1"/>
        </xdr:cNvSpPr>
      </xdr:nvSpPr>
      <xdr:spPr>
        <a:xfrm>
          <a:off x="713105" y="2971800"/>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18</xdr:row>
      <xdr:rowOff>15240</xdr:rowOff>
    </xdr:from>
    <xdr:to>
      <xdr:col>2</xdr:col>
      <xdr:colOff>0</xdr:colOff>
      <xdr:row>20</xdr:row>
      <xdr:rowOff>7620</xdr:rowOff>
    </xdr:to>
    <xdr:sp>
      <xdr:nvSpPr>
        <xdr:cNvPr id="222" name="Line 1831"/>
        <xdr:cNvSpPr>
          <a:spLocks noChangeShapeType="1"/>
        </xdr:cNvSpPr>
      </xdr:nvSpPr>
      <xdr:spPr>
        <a:xfrm>
          <a:off x="713105" y="2971800"/>
          <a:ext cx="133540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18</xdr:row>
      <xdr:rowOff>0</xdr:rowOff>
    </xdr:from>
    <xdr:to>
      <xdr:col>1</xdr:col>
      <xdr:colOff>129540</xdr:colOff>
      <xdr:row>18</xdr:row>
      <xdr:rowOff>38100</xdr:rowOff>
    </xdr:to>
    <xdr:sp>
      <xdr:nvSpPr>
        <xdr:cNvPr id="223" name="Line 1834"/>
        <xdr:cNvSpPr>
          <a:spLocks noChangeShapeType="1"/>
        </xdr:cNvSpPr>
      </xdr:nvSpPr>
      <xdr:spPr>
        <a:xfrm>
          <a:off x="713105" y="2971800"/>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18</xdr:row>
      <xdr:rowOff>0</xdr:rowOff>
    </xdr:from>
    <xdr:to>
      <xdr:col>1</xdr:col>
      <xdr:colOff>129540</xdr:colOff>
      <xdr:row>18</xdr:row>
      <xdr:rowOff>38100</xdr:rowOff>
    </xdr:to>
    <xdr:sp>
      <xdr:nvSpPr>
        <xdr:cNvPr id="224" name="Line 1835"/>
        <xdr:cNvSpPr>
          <a:spLocks noChangeShapeType="1"/>
        </xdr:cNvSpPr>
      </xdr:nvSpPr>
      <xdr:spPr>
        <a:xfrm>
          <a:off x="713105" y="2971800"/>
          <a:ext cx="838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18</xdr:row>
      <xdr:rowOff>15240</xdr:rowOff>
    </xdr:from>
    <xdr:to>
      <xdr:col>2</xdr:col>
      <xdr:colOff>0</xdr:colOff>
      <xdr:row>20</xdr:row>
      <xdr:rowOff>7620</xdr:rowOff>
    </xdr:to>
    <xdr:sp>
      <xdr:nvSpPr>
        <xdr:cNvPr id="225" name="Line 1836"/>
        <xdr:cNvSpPr>
          <a:spLocks noChangeShapeType="1"/>
        </xdr:cNvSpPr>
      </xdr:nvSpPr>
      <xdr:spPr>
        <a:xfrm>
          <a:off x="713105" y="2971800"/>
          <a:ext cx="133540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26" name="Line 1"/>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27" name="Line 2"/>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15240</xdr:rowOff>
    </xdr:from>
    <xdr:to>
      <xdr:col>2</xdr:col>
      <xdr:colOff>0</xdr:colOff>
      <xdr:row>16</xdr:row>
      <xdr:rowOff>7620</xdr:rowOff>
    </xdr:to>
    <xdr:sp>
      <xdr:nvSpPr>
        <xdr:cNvPr id="228" name="Line 3"/>
        <xdr:cNvSpPr>
          <a:spLocks noChangeShapeType="1"/>
        </xdr:cNvSpPr>
      </xdr:nvSpPr>
      <xdr:spPr>
        <a:xfrm>
          <a:off x="713105" y="2625090"/>
          <a:ext cx="1335405" cy="34671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29" name="Line 4"/>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30" name="Line 5"/>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31" name="Line 6"/>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32" name="Line 7"/>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15240</xdr:rowOff>
    </xdr:from>
    <xdr:to>
      <xdr:col>2</xdr:col>
      <xdr:colOff>0</xdr:colOff>
      <xdr:row>16</xdr:row>
      <xdr:rowOff>7620</xdr:rowOff>
    </xdr:to>
    <xdr:sp>
      <xdr:nvSpPr>
        <xdr:cNvPr id="233" name="Line 8"/>
        <xdr:cNvSpPr>
          <a:spLocks noChangeShapeType="1"/>
        </xdr:cNvSpPr>
      </xdr:nvSpPr>
      <xdr:spPr>
        <a:xfrm>
          <a:off x="713105" y="2625090"/>
          <a:ext cx="1335405" cy="34671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34" name="Line 9"/>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35" name="Line 10"/>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36" name="Line 11"/>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37" name="Line 12"/>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15240</xdr:rowOff>
    </xdr:from>
    <xdr:to>
      <xdr:col>2</xdr:col>
      <xdr:colOff>0</xdr:colOff>
      <xdr:row>16</xdr:row>
      <xdr:rowOff>7620</xdr:rowOff>
    </xdr:to>
    <xdr:sp>
      <xdr:nvSpPr>
        <xdr:cNvPr id="238" name="Line 13"/>
        <xdr:cNvSpPr>
          <a:spLocks noChangeShapeType="1"/>
        </xdr:cNvSpPr>
      </xdr:nvSpPr>
      <xdr:spPr>
        <a:xfrm>
          <a:off x="713105" y="2625090"/>
          <a:ext cx="1335405" cy="34671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39" name="Line 14"/>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40" name="Line 15"/>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41" name="Line 16"/>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42" name="Line 17"/>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15240</xdr:rowOff>
    </xdr:from>
    <xdr:to>
      <xdr:col>2</xdr:col>
      <xdr:colOff>0</xdr:colOff>
      <xdr:row>16</xdr:row>
      <xdr:rowOff>7620</xdr:rowOff>
    </xdr:to>
    <xdr:sp>
      <xdr:nvSpPr>
        <xdr:cNvPr id="243" name="Line 18"/>
        <xdr:cNvSpPr>
          <a:spLocks noChangeShapeType="1"/>
        </xdr:cNvSpPr>
      </xdr:nvSpPr>
      <xdr:spPr>
        <a:xfrm>
          <a:off x="713105" y="2625090"/>
          <a:ext cx="1335405" cy="34671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44" name="Line 19"/>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45" name="Line 20"/>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46" name="Line 1"/>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47" name="Line 2"/>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15240</xdr:rowOff>
    </xdr:from>
    <xdr:to>
      <xdr:col>2</xdr:col>
      <xdr:colOff>0</xdr:colOff>
      <xdr:row>16</xdr:row>
      <xdr:rowOff>7620</xdr:rowOff>
    </xdr:to>
    <xdr:sp>
      <xdr:nvSpPr>
        <xdr:cNvPr id="248" name="Line 3"/>
        <xdr:cNvSpPr>
          <a:spLocks noChangeShapeType="1"/>
        </xdr:cNvSpPr>
      </xdr:nvSpPr>
      <xdr:spPr>
        <a:xfrm>
          <a:off x="713105" y="2625090"/>
          <a:ext cx="1335405" cy="34671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49" name="Line 4"/>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50" name="Line 5"/>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51" name="Line 6"/>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52" name="Line 7"/>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15240</xdr:rowOff>
    </xdr:from>
    <xdr:to>
      <xdr:col>2</xdr:col>
      <xdr:colOff>0</xdr:colOff>
      <xdr:row>16</xdr:row>
      <xdr:rowOff>7620</xdr:rowOff>
    </xdr:to>
    <xdr:sp>
      <xdr:nvSpPr>
        <xdr:cNvPr id="253" name="Line 8"/>
        <xdr:cNvSpPr>
          <a:spLocks noChangeShapeType="1"/>
        </xdr:cNvSpPr>
      </xdr:nvSpPr>
      <xdr:spPr>
        <a:xfrm>
          <a:off x="713105" y="2625090"/>
          <a:ext cx="1335405" cy="34671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54" name="Line 9"/>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55" name="Line 10"/>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56" name="Line 11"/>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57" name="Line 12"/>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58" name="Line 14"/>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59" name="Line 15"/>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60" name="Line 16"/>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61" name="Line 17"/>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62" name="Line 19"/>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63" name="Line 20"/>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64" name="Line 1"/>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65" name="Line 3"/>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66" name="Line 5"/>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67" name="Line 6"/>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68" name="Line 1819"/>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69" name="Line 1820"/>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70" name="Line 1822"/>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71" name="Line 1823"/>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72" name="Line 1824"/>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73" name="Line 1825"/>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74" name="Line 1827"/>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75" name="Line 1828"/>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76" name="Line 1829"/>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77" name="Line 1830"/>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78" name="Line 1832"/>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79" name="Line 1833"/>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80" name="Line 1834"/>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81" name="Line 1835"/>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82" name="Line 1837"/>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83" name="Line 1838"/>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84" name="Line 1"/>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85" name="Line 3"/>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86" name="Line 5"/>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87" name="Line 6"/>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88" name="Line 2649"/>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89" name="Line 2650"/>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90" name="Line 2652"/>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91" name="Line 2653"/>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92" name="Line 2654"/>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93" name="Line 2655"/>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94" name="Line 2657"/>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95" name="Line 2658"/>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96" name="Line 2659"/>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297" name="Line 2660"/>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298" name="Line 2662"/>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299" name="Line 2663"/>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300" name="Line 2664"/>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14</xdr:row>
      <xdr:rowOff>0</xdr:rowOff>
    </xdr:from>
    <xdr:to>
      <xdr:col>1</xdr:col>
      <xdr:colOff>129540</xdr:colOff>
      <xdr:row>14</xdr:row>
      <xdr:rowOff>38100</xdr:rowOff>
    </xdr:to>
    <xdr:sp>
      <xdr:nvSpPr>
        <xdr:cNvPr id="301" name="Line 2665"/>
        <xdr:cNvSpPr>
          <a:spLocks noChangeShapeType="1"/>
        </xdr:cNvSpPr>
      </xdr:nvSpPr>
      <xdr:spPr>
        <a:xfrm>
          <a:off x="713105" y="260985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21</xdr:row>
      <xdr:rowOff>0</xdr:rowOff>
    </xdr:from>
    <xdr:to>
      <xdr:col>1</xdr:col>
      <xdr:colOff>1341120</xdr:colOff>
      <xdr:row>21</xdr:row>
      <xdr:rowOff>0</xdr:rowOff>
    </xdr:to>
    <xdr:sp>
      <xdr:nvSpPr>
        <xdr:cNvPr id="302" name="Line 2667"/>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24</xdr:row>
      <xdr:rowOff>0</xdr:rowOff>
    </xdr:from>
    <xdr:to>
      <xdr:col>1</xdr:col>
      <xdr:colOff>1341120</xdr:colOff>
      <xdr:row>24</xdr:row>
      <xdr:rowOff>0</xdr:rowOff>
    </xdr:to>
    <xdr:sp>
      <xdr:nvSpPr>
        <xdr:cNvPr id="303" name="Line 2668"/>
        <xdr:cNvSpPr>
          <a:spLocks noChangeShapeType="1"/>
        </xdr:cNvSpPr>
      </xdr:nvSpPr>
      <xdr:spPr>
        <a:xfrm flipV="1">
          <a:off x="2000885" y="29718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04" name="Line 1"/>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05" name="Line 3"/>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306" name="Line 4"/>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307" name="Line 5"/>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308" name="Line 6"/>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309" name="Line 1"/>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310" name="Line 3"/>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15240</xdr:rowOff>
    </xdr:from>
    <xdr:to>
      <xdr:col>2</xdr:col>
      <xdr:colOff>0</xdr:colOff>
      <xdr:row>33</xdr:row>
      <xdr:rowOff>7620</xdr:rowOff>
    </xdr:to>
    <xdr:sp>
      <xdr:nvSpPr>
        <xdr:cNvPr id="311" name="Line 4"/>
        <xdr:cNvSpPr>
          <a:spLocks noChangeShapeType="1"/>
        </xdr:cNvSpPr>
      </xdr:nvSpPr>
      <xdr:spPr>
        <a:xfrm>
          <a:off x="713105" y="43586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312" name="Line 1819"/>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313" name="Line 1820"/>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15240</xdr:rowOff>
    </xdr:from>
    <xdr:to>
      <xdr:col>2</xdr:col>
      <xdr:colOff>0</xdr:colOff>
      <xdr:row>33</xdr:row>
      <xdr:rowOff>7620</xdr:rowOff>
    </xdr:to>
    <xdr:sp>
      <xdr:nvSpPr>
        <xdr:cNvPr id="314" name="Line 1821"/>
        <xdr:cNvSpPr>
          <a:spLocks noChangeShapeType="1"/>
        </xdr:cNvSpPr>
      </xdr:nvSpPr>
      <xdr:spPr>
        <a:xfrm>
          <a:off x="713105" y="43586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315" name="Line 1824"/>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316" name="Line 1825"/>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15240</xdr:rowOff>
    </xdr:from>
    <xdr:to>
      <xdr:col>2</xdr:col>
      <xdr:colOff>0</xdr:colOff>
      <xdr:row>33</xdr:row>
      <xdr:rowOff>7620</xdr:rowOff>
    </xdr:to>
    <xdr:sp>
      <xdr:nvSpPr>
        <xdr:cNvPr id="317" name="Line 1826"/>
        <xdr:cNvSpPr>
          <a:spLocks noChangeShapeType="1"/>
        </xdr:cNvSpPr>
      </xdr:nvSpPr>
      <xdr:spPr>
        <a:xfrm>
          <a:off x="713105" y="43586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318" name="Line 1829"/>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319" name="Line 1830"/>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15240</xdr:rowOff>
    </xdr:from>
    <xdr:to>
      <xdr:col>2</xdr:col>
      <xdr:colOff>0</xdr:colOff>
      <xdr:row>33</xdr:row>
      <xdr:rowOff>7620</xdr:rowOff>
    </xdr:to>
    <xdr:sp>
      <xdr:nvSpPr>
        <xdr:cNvPr id="320" name="Line 1831"/>
        <xdr:cNvSpPr>
          <a:spLocks noChangeShapeType="1"/>
        </xdr:cNvSpPr>
      </xdr:nvSpPr>
      <xdr:spPr>
        <a:xfrm>
          <a:off x="713105" y="43586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321" name="Line 1834"/>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322" name="Line 1835"/>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15240</xdr:rowOff>
    </xdr:from>
    <xdr:to>
      <xdr:col>2</xdr:col>
      <xdr:colOff>0</xdr:colOff>
      <xdr:row>33</xdr:row>
      <xdr:rowOff>7620</xdr:rowOff>
    </xdr:to>
    <xdr:sp>
      <xdr:nvSpPr>
        <xdr:cNvPr id="323" name="Line 1836"/>
        <xdr:cNvSpPr>
          <a:spLocks noChangeShapeType="1"/>
        </xdr:cNvSpPr>
      </xdr:nvSpPr>
      <xdr:spPr>
        <a:xfrm>
          <a:off x="713105" y="43586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24" name="Line 1"/>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25" name="Line 2"/>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326" name="Line 3"/>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327" name="Line 4"/>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328" name="Line 5"/>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29" name="Line 6"/>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30" name="Line 7"/>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331" name="Line 8"/>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332" name="Line 9"/>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333" name="Line 10"/>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34" name="Line 11"/>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35" name="Line 12"/>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336" name="Line 13"/>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337" name="Line 14"/>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338" name="Line 15"/>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39" name="Line 16"/>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40" name="Line 17"/>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341" name="Line 18"/>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342" name="Line 19"/>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343" name="Line 20"/>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44" name="Line 1"/>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45" name="Line 2"/>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346" name="Line 3"/>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347" name="Line 4"/>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348" name="Line 5"/>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49" name="Line 6"/>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50" name="Line 7"/>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351" name="Line 8"/>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352" name="Line 9"/>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353" name="Line 10"/>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54" name="Line 11"/>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55" name="Line 12"/>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356" name="Line 13"/>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357" name="Line 14"/>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358" name="Line 15"/>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59" name="Line 16"/>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60" name="Line 17"/>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361" name="Line 18"/>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362" name="Line 19"/>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363" name="Line 20"/>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64" name="Line 1"/>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65" name="Line 3"/>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366" name="Line 4"/>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367" name="Line 5"/>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368" name="Line 6"/>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69" name="Line 1819"/>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70" name="Line 1820"/>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371" name="Line 1821"/>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372" name="Line 1822"/>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373" name="Line 1823"/>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74" name="Line 1824"/>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75" name="Line 1825"/>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376" name="Line 1826"/>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377" name="Line 1827"/>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378" name="Line 1828"/>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79" name="Line 1829"/>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80" name="Line 1830"/>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381" name="Line 1831"/>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382" name="Line 1832"/>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383" name="Line 1833"/>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84" name="Line 1834"/>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85" name="Line 1835"/>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386" name="Line 1836"/>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387" name="Line 1837"/>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388" name="Line 1838"/>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89" name="Line 1"/>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90" name="Line 3"/>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391" name="Line 4"/>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392" name="Line 5"/>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393" name="Line 6"/>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94" name="Line 2649"/>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95" name="Line 2650"/>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396" name="Line 2651"/>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397" name="Line 2652"/>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398" name="Line 2653"/>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399" name="Line 2654"/>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00" name="Line 2655"/>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01" name="Line 2656"/>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02" name="Line 2657"/>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03" name="Line 2658"/>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04" name="Line 2659"/>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05" name="Line 2660"/>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06" name="Line 2661"/>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07" name="Line 2662"/>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08" name="Line 2663"/>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09" name="Line 2664"/>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10" name="Line 2665"/>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11" name="Line 2666"/>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12" name="Line 2667"/>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13" name="Line 2668"/>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414" name="Line 1"/>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415" name="Line 3"/>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15240</xdr:rowOff>
    </xdr:from>
    <xdr:to>
      <xdr:col>2</xdr:col>
      <xdr:colOff>0</xdr:colOff>
      <xdr:row>33</xdr:row>
      <xdr:rowOff>7620</xdr:rowOff>
    </xdr:to>
    <xdr:sp>
      <xdr:nvSpPr>
        <xdr:cNvPr id="416" name="Line 4"/>
        <xdr:cNvSpPr>
          <a:spLocks noChangeShapeType="1"/>
        </xdr:cNvSpPr>
      </xdr:nvSpPr>
      <xdr:spPr>
        <a:xfrm>
          <a:off x="713105" y="43586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417" name="Line 1819"/>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418" name="Line 1820"/>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15240</xdr:rowOff>
    </xdr:from>
    <xdr:to>
      <xdr:col>2</xdr:col>
      <xdr:colOff>0</xdr:colOff>
      <xdr:row>33</xdr:row>
      <xdr:rowOff>7620</xdr:rowOff>
    </xdr:to>
    <xdr:sp>
      <xdr:nvSpPr>
        <xdr:cNvPr id="419" name="Line 1821"/>
        <xdr:cNvSpPr>
          <a:spLocks noChangeShapeType="1"/>
        </xdr:cNvSpPr>
      </xdr:nvSpPr>
      <xdr:spPr>
        <a:xfrm>
          <a:off x="713105" y="43586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420" name="Line 1824"/>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421" name="Line 1825"/>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422" name="Line 1829"/>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423" name="Line 1830"/>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424" name="Line 1834"/>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31</xdr:row>
      <xdr:rowOff>0</xdr:rowOff>
    </xdr:from>
    <xdr:to>
      <xdr:col>1</xdr:col>
      <xdr:colOff>129540</xdr:colOff>
      <xdr:row>31</xdr:row>
      <xdr:rowOff>38100</xdr:rowOff>
    </xdr:to>
    <xdr:sp>
      <xdr:nvSpPr>
        <xdr:cNvPr id="425" name="Line 1835"/>
        <xdr:cNvSpPr>
          <a:spLocks noChangeShapeType="1"/>
        </xdr:cNvSpPr>
      </xdr:nvSpPr>
      <xdr:spPr>
        <a:xfrm>
          <a:off x="713105" y="43434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26" name="Line 1"/>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27" name="Line 2"/>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28" name="Line 3"/>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29" name="Line 4"/>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30" name="Line 5"/>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31" name="Line 6"/>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32" name="Line 7"/>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33" name="Line 8"/>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34" name="Line 9"/>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35" name="Line 10"/>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36" name="Line 11"/>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37" name="Line 12"/>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38" name="Line 13"/>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39" name="Line 14"/>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40" name="Line 15"/>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41" name="Line 16"/>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42" name="Line 17"/>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43" name="Line 18"/>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44" name="Line 19"/>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45" name="Line 20"/>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46" name="Line 1"/>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47" name="Line 2"/>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48" name="Line 3"/>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49" name="Line 4"/>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50" name="Line 5"/>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51" name="Line 6"/>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52" name="Line 7"/>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53" name="Line 8"/>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54" name="Line 9"/>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55" name="Line 10"/>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56" name="Line 11"/>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57" name="Line 12"/>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58" name="Line 13"/>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59" name="Line 14"/>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60" name="Line 15"/>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61" name="Line 16"/>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62" name="Line 17"/>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63" name="Line 18"/>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64" name="Line 19"/>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65" name="Line 20"/>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66" name="Line 1"/>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67" name="Line 3"/>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68" name="Line 4"/>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69" name="Line 5"/>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70" name="Line 6"/>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71" name="Line 1819"/>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72" name="Line 1820"/>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73" name="Line 1821"/>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74" name="Line 1822"/>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75" name="Line 1823"/>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76" name="Line 1824"/>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77" name="Line 1825"/>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78" name="Line 1826"/>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79" name="Line 1827"/>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80" name="Line 1828"/>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81" name="Line 1829"/>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82" name="Line 1830"/>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83" name="Line 1831"/>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84" name="Line 1832"/>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85" name="Line 1833"/>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86" name="Line 1834"/>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87" name="Line 1835"/>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88" name="Line 1836"/>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89" name="Line 1837"/>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90" name="Line 1838"/>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91" name="Line 1"/>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92" name="Line 3"/>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93" name="Line 4"/>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94" name="Line 5"/>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495" name="Line 6"/>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96" name="Line 2649"/>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497" name="Line 2650"/>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15240</xdr:rowOff>
    </xdr:from>
    <xdr:to>
      <xdr:col>2</xdr:col>
      <xdr:colOff>0</xdr:colOff>
      <xdr:row>29</xdr:row>
      <xdr:rowOff>7620</xdr:rowOff>
    </xdr:to>
    <xdr:sp>
      <xdr:nvSpPr>
        <xdr:cNvPr id="498" name="Line 2651"/>
        <xdr:cNvSpPr>
          <a:spLocks noChangeShapeType="1"/>
        </xdr:cNvSpPr>
      </xdr:nvSpPr>
      <xdr:spPr>
        <a:xfrm>
          <a:off x="713105"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499" name="Line 2652"/>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500" name="Line 2653"/>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501" name="Line 2654"/>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502" name="Line 2655"/>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17145</xdr:colOff>
      <xdr:row>27</xdr:row>
      <xdr:rowOff>15240</xdr:rowOff>
    </xdr:from>
    <xdr:to>
      <xdr:col>1</xdr:col>
      <xdr:colOff>1352550</xdr:colOff>
      <xdr:row>29</xdr:row>
      <xdr:rowOff>7620</xdr:rowOff>
    </xdr:to>
    <xdr:sp>
      <xdr:nvSpPr>
        <xdr:cNvPr id="503" name="Line 2656"/>
        <xdr:cNvSpPr>
          <a:spLocks noChangeShapeType="1"/>
        </xdr:cNvSpPr>
      </xdr:nvSpPr>
      <xdr:spPr>
        <a:xfrm>
          <a:off x="684530" y="3444240"/>
          <a:ext cx="1335405" cy="44958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504" name="Line 2657"/>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505" name="Line 2658"/>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506" name="Line 2659"/>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507" name="Line 2660"/>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508" name="Line 2662"/>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509" name="Line 2663"/>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510" name="Line 2664"/>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45720</xdr:colOff>
      <xdr:row>27</xdr:row>
      <xdr:rowOff>0</xdr:rowOff>
    </xdr:from>
    <xdr:to>
      <xdr:col>1</xdr:col>
      <xdr:colOff>129540</xdr:colOff>
      <xdr:row>27</xdr:row>
      <xdr:rowOff>38100</xdr:rowOff>
    </xdr:to>
    <xdr:sp>
      <xdr:nvSpPr>
        <xdr:cNvPr id="511" name="Line 2665"/>
        <xdr:cNvSpPr>
          <a:spLocks noChangeShapeType="1"/>
        </xdr:cNvSpPr>
      </xdr:nvSpPr>
      <xdr:spPr>
        <a:xfrm>
          <a:off x="713105" y="3429000"/>
          <a:ext cx="83820"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34</xdr:row>
      <xdr:rowOff>0</xdr:rowOff>
    </xdr:from>
    <xdr:to>
      <xdr:col>1</xdr:col>
      <xdr:colOff>1341120</xdr:colOff>
      <xdr:row>34</xdr:row>
      <xdr:rowOff>0</xdr:rowOff>
    </xdr:to>
    <xdr:sp>
      <xdr:nvSpPr>
        <xdr:cNvPr id="512" name="Line 2667"/>
        <xdr:cNvSpPr>
          <a:spLocks noChangeShapeType="1"/>
        </xdr:cNvSpPr>
      </xdr:nvSpPr>
      <xdr:spPr>
        <a:xfrm flipV="1">
          <a:off x="2000885" y="50292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37</xdr:row>
      <xdr:rowOff>0</xdr:rowOff>
    </xdr:from>
    <xdr:to>
      <xdr:col>1</xdr:col>
      <xdr:colOff>1341120</xdr:colOff>
      <xdr:row>37</xdr:row>
      <xdr:rowOff>0</xdr:rowOff>
    </xdr:to>
    <xdr:sp>
      <xdr:nvSpPr>
        <xdr:cNvPr id="513" name="Line 2668"/>
        <xdr:cNvSpPr>
          <a:spLocks noChangeShapeType="1"/>
        </xdr:cNvSpPr>
      </xdr:nvSpPr>
      <xdr:spPr>
        <a:xfrm flipV="1">
          <a:off x="2000885" y="5715000"/>
          <a:ext cx="7620"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0</xdr:rowOff>
    </xdr:from>
    <xdr:to>
      <xdr:col>1</xdr:col>
      <xdr:colOff>133350</xdr:colOff>
      <xdr:row>1</xdr:row>
      <xdr:rowOff>38100</xdr:rowOff>
    </xdr:to>
    <xdr:sp>
      <xdr:nvSpPr>
        <xdr:cNvPr id="514" name="Line 1"/>
        <xdr:cNvSpPr>
          <a:spLocks noChangeShapeType="1"/>
        </xdr:cNvSpPr>
      </xdr:nvSpPr>
      <xdr:spPr>
        <a:xfrm>
          <a:off x="715010" y="238125"/>
          <a:ext cx="85725"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0</xdr:rowOff>
    </xdr:from>
    <xdr:to>
      <xdr:col>1</xdr:col>
      <xdr:colOff>133350</xdr:colOff>
      <xdr:row>1</xdr:row>
      <xdr:rowOff>38100</xdr:rowOff>
    </xdr:to>
    <xdr:sp>
      <xdr:nvSpPr>
        <xdr:cNvPr id="515" name="Line 2"/>
        <xdr:cNvSpPr>
          <a:spLocks noChangeShapeType="1"/>
        </xdr:cNvSpPr>
      </xdr:nvSpPr>
      <xdr:spPr>
        <a:xfrm>
          <a:off x="715010" y="238125"/>
          <a:ext cx="85725"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19050</xdr:rowOff>
    </xdr:from>
    <xdr:to>
      <xdr:col>2</xdr:col>
      <xdr:colOff>0</xdr:colOff>
      <xdr:row>3</xdr:row>
      <xdr:rowOff>9525</xdr:rowOff>
    </xdr:to>
    <xdr:sp>
      <xdr:nvSpPr>
        <xdr:cNvPr id="516" name="Line 3"/>
        <xdr:cNvSpPr>
          <a:spLocks noChangeShapeType="1"/>
        </xdr:cNvSpPr>
      </xdr:nvSpPr>
      <xdr:spPr>
        <a:xfrm>
          <a:off x="715010" y="257175"/>
          <a:ext cx="1333500" cy="35242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1343025</xdr:colOff>
      <xdr:row>8</xdr:row>
      <xdr:rowOff>0</xdr:rowOff>
    </xdr:to>
    <xdr:sp>
      <xdr:nvSpPr>
        <xdr:cNvPr id="517" name="Line 4"/>
        <xdr:cNvSpPr>
          <a:spLocks noChangeShapeType="1"/>
        </xdr:cNvSpPr>
      </xdr:nvSpPr>
      <xdr:spPr>
        <a:xfrm flipV="1">
          <a:off x="2000885" y="1504950"/>
          <a:ext cx="95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1343025</xdr:colOff>
      <xdr:row>11</xdr:row>
      <xdr:rowOff>0</xdr:rowOff>
    </xdr:to>
    <xdr:sp>
      <xdr:nvSpPr>
        <xdr:cNvPr id="518" name="Line 5"/>
        <xdr:cNvSpPr>
          <a:spLocks noChangeShapeType="1"/>
        </xdr:cNvSpPr>
      </xdr:nvSpPr>
      <xdr:spPr>
        <a:xfrm flipV="1">
          <a:off x="2000885" y="2047875"/>
          <a:ext cx="95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0</xdr:rowOff>
    </xdr:from>
    <xdr:to>
      <xdr:col>1</xdr:col>
      <xdr:colOff>133350</xdr:colOff>
      <xdr:row>1</xdr:row>
      <xdr:rowOff>38100</xdr:rowOff>
    </xdr:to>
    <xdr:sp>
      <xdr:nvSpPr>
        <xdr:cNvPr id="519" name="Line 6"/>
        <xdr:cNvSpPr>
          <a:spLocks noChangeShapeType="1"/>
        </xdr:cNvSpPr>
      </xdr:nvSpPr>
      <xdr:spPr>
        <a:xfrm>
          <a:off x="715010" y="238125"/>
          <a:ext cx="85725"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0</xdr:rowOff>
    </xdr:from>
    <xdr:to>
      <xdr:col>1</xdr:col>
      <xdr:colOff>133350</xdr:colOff>
      <xdr:row>1</xdr:row>
      <xdr:rowOff>38100</xdr:rowOff>
    </xdr:to>
    <xdr:sp>
      <xdr:nvSpPr>
        <xdr:cNvPr id="520" name="Line 7"/>
        <xdr:cNvSpPr>
          <a:spLocks noChangeShapeType="1"/>
        </xdr:cNvSpPr>
      </xdr:nvSpPr>
      <xdr:spPr>
        <a:xfrm>
          <a:off x="715010" y="238125"/>
          <a:ext cx="85725"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19050</xdr:rowOff>
    </xdr:from>
    <xdr:to>
      <xdr:col>2</xdr:col>
      <xdr:colOff>0</xdr:colOff>
      <xdr:row>3</xdr:row>
      <xdr:rowOff>9525</xdr:rowOff>
    </xdr:to>
    <xdr:sp>
      <xdr:nvSpPr>
        <xdr:cNvPr id="521" name="Line 8"/>
        <xdr:cNvSpPr>
          <a:spLocks noChangeShapeType="1"/>
        </xdr:cNvSpPr>
      </xdr:nvSpPr>
      <xdr:spPr>
        <a:xfrm>
          <a:off x="715010" y="257175"/>
          <a:ext cx="1333500" cy="35242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1343025</xdr:colOff>
      <xdr:row>8</xdr:row>
      <xdr:rowOff>0</xdr:rowOff>
    </xdr:to>
    <xdr:sp>
      <xdr:nvSpPr>
        <xdr:cNvPr id="522" name="Line 9"/>
        <xdr:cNvSpPr>
          <a:spLocks noChangeShapeType="1"/>
        </xdr:cNvSpPr>
      </xdr:nvSpPr>
      <xdr:spPr>
        <a:xfrm flipV="1">
          <a:off x="2000885" y="1504950"/>
          <a:ext cx="95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1343025</xdr:colOff>
      <xdr:row>11</xdr:row>
      <xdr:rowOff>0</xdr:rowOff>
    </xdr:to>
    <xdr:sp>
      <xdr:nvSpPr>
        <xdr:cNvPr id="523" name="Line 10"/>
        <xdr:cNvSpPr>
          <a:spLocks noChangeShapeType="1"/>
        </xdr:cNvSpPr>
      </xdr:nvSpPr>
      <xdr:spPr>
        <a:xfrm flipV="1">
          <a:off x="2000885" y="2047875"/>
          <a:ext cx="95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0</xdr:rowOff>
    </xdr:from>
    <xdr:to>
      <xdr:col>1</xdr:col>
      <xdr:colOff>133350</xdr:colOff>
      <xdr:row>1</xdr:row>
      <xdr:rowOff>38100</xdr:rowOff>
    </xdr:to>
    <xdr:sp>
      <xdr:nvSpPr>
        <xdr:cNvPr id="524" name="Line 11"/>
        <xdr:cNvSpPr>
          <a:spLocks noChangeShapeType="1"/>
        </xdr:cNvSpPr>
      </xdr:nvSpPr>
      <xdr:spPr>
        <a:xfrm>
          <a:off x="715010" y="238125"/>
          <a:ext cx="85725"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0</xdr:rowOff>
    </xdr:from>
    <xdr:to>
      <xdr:col>1</xdr:col>
      <xdr:colOff>133350</xdr:colOff>
      <xdr:row>1</xdr:row>
      <xdr:rowOff>38100</xdr:rowOff>
    </xdr:to>
    <xdr:sp>
      <xdr:nvSpPr>
        <xdr:cNvPr id="525" name="Line 12"/>
        <xdr:cNvSpPr>
          <a:spLocks noChangeShapeType="1"/>
        </xdr:cNvSpPr>
      </xdr:nvSpPr>
      <xdr:spPr>
        <a:xfrm>
          <a:off x="715010" y="238125"/>
          <a:ext cx="85725"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19050</xdr:rowOff>
    </xdr:from>
    <xdr:to>
      <xdr:col>2</xdr:col>
      <xdr:colOff>0</xdr:colOff>
      <xdr:row>3</xdr:row>
      <xdr:rowOff>9525</xdr:rowOff>
    </xdr:to>
    <xdr:sp>
      <xdr:nvSpPr>
        <xdr:cNvPr id="526" name="Line 13"/>
        <xdr:cNvSpPr>
          <a:spLocks noChangeShapeType="1"/>
        </xdr:cNvSpPr>
      </xdr:nvSpPr>
      <xdr:spPr>
        <a:xfrm>
          <a:off x="715010" y="257175"/>
          <a:ext cx="1333500" cy="35242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1343025</xdr:colOff>
      <xdr:row>8</xdr:row>
      <xdr:rowOff>0</xdr:rowOff>
    </xdr:to>
    <xdr:sp>
      <xdr:nvSpPr>
        <xdr:cNvPr id="527" name="Line 14"/>
        <xdr:cNvSpPr>
          <a:spLocks noChangeShapeType="1"/>
        </xdr:cNvSpPr>
      </xdr:nvSpPr>
      <xdr:spPr>
        <a:xfrm flipV="1">
          <a:off x="2000885" y="1504950"/>
          <a:ext cx="95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1343025</xdr:colOff>
      <xdr:row>11</xdr:row>
      <xdr:rowOff>0</xdr:rowOff>
    </xdr:to>
    <xdr:sp>
      <xdr:nvSpPr>
        <xdr:cNvPr id="528" name="Line 15"/>
        <xdr:cNvSpPr>
          <a:spLocks noChangeShapeType="1"/>
        </xdr:cNvSpPr>
      </xdr:nvSpPr>
      <xdr:spPr>
        <a:xfrm flipV="1">
          <a:off x="2000885" y="2047875"/>
          <a:ext cx="95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0</xdr:rowOff>
    </xdr:from>
    <xdr:to>
      <xdr:col>1</xdr:col>
      <xdr:colOff>133350</xdr:colOff>
      <xdr:row>1</xdr:row>
      <xdr:rowOff>38100</xdr:rowOff>
    </xdr:to>
    <xdr:sp>
      <xdr:nvSpPr>
        <xdr:cNvPr id="529" name="Line 16"/>
        <xdr:cNvSpPr>
          <a:spLocks noChangeShapeType="1"/>
        </xdr:cNvSpPr>
      </xdr:nvSpPr>
      <xdr:spPr>
        <a:xfrm>
          <a:off x="715010" y="238125"/>
          <a:ext cx="85725"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0</xdr:rowOff>
    </xdr:from>
    <xdr:to>
      <xdr:col>1</xdr:col>
      <xdr:colOff>133350</xdr:colOff>
      <xdr:row>1</xdr:row>
      <xdr:rowOff>38100</xdr:rowOff>
    </xdr:to>
    <xdr:sp>
      <xdr:nvSpPr>
        <xdr:cNvPr id="530" name="Line 17"/>
        <xdr:cNvSpPr>
          <a:spLocks noChangeShapeType="1"/>
        </xdr:cNvSpPr>
      </xdr:nvSpPr>
      <xdr:spPr>
        <a:xfrm>
          <a:off x="715010" y="238125"/>
          <a:ext cx="85725" cy="3810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47625</xdr:colOff>
      <xdr:row>1</xdr:row>
      <xdr:rowOff>19050</xdr:rowOff>
    </xdr:from>
    <xdr:to>
      <xdr:col>2</xdr:col>
      <xdr:colOff>0</xdr:colOff>
      <xdr:row>3</xdr:row>
      <xdr:rowOff>9525</xdr:rowOff>
    </xdr:to>
    <xdr:sp>
      <xdr:nvSpPr>
        <xdr:cNvPr id="531" name="Line 18"/>
        <xdr:cNvSpPr>
          <a:spLocks noChangeShapeType="1"/>
        </xdr:cNvSpPr>
      </xdr:nvSpPr>
      <xdr:spPr>
        <a:xfrm>
          <a:off x="715010" y="257175"/>
          <a:ext cx="1333500" cy="352425"/>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8</xdr:row>
      <xdr:rowOff>0</xdr:rowOff>
    </xdr:from>
    <xdr:to>
      <xdr:col>1</xdr:col>
      <xdr:colOff>1343025</xdr:colOff>
      <xdr:row>8</xdr:row>
      <xdr:rowOff>0</xdr:rowOff>
    </xdr:to>
    <xdr:sp>
      <xdr:nvSpPr>
        <xdr:cNvPr id="532" name="Line 19"/>
        <xdr:cNvSpPr>
          <a:spLocks noChangeShapeType="1"/>
        </xdr:cNvSpPr>
      </xdr:nvSpPr>
      <xdr:spPr>
        <a:xfrm flipV="1">
          <a:off x="2000885" y="1504950"/>
          <a:ext cx="95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twoCellAnchor>
    <xdr:from>
      <xdr:col>1</xdr:col>
      <xdr:colOff>1333500</xdr:colOff>
      <xdr:row>11</xdr:row>
      <xdr:rowOff>0</xdr:rowOff>
    </xdr:from>
    <xdr:to>
      <xdr:col>1</xdr:col>
      <xdr:colOff>1343025</xdr:colOff>
      <xdr:row>11</xdr:row>
      <xdr:rowOff>0</xdr:rowOff>
    </xdr:to>
    <xdr:sp>
      <xdr:nvSpPr>
        <xdr:cNvPr id="533" name="Line 20"/>
        <xdr:cNvSpPr>
          <a:spLocks noChangeShapeType="1"/>
        </xdr:cNvSpPr>
      </xdr:nvSpPr>
      <xdr:spPr>
        <a:xfrm flipV="1">
          <a:off x="2000885" y="2047875"/>
          <a:ext cx="9525" cy="0"/>
        </a:xfrm>
        <a:prstGeom prst="line">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19050</xdr:colOff>
      <xdr:row>27</xdr:row>
      <xdr:rowOff>9525</xdr:rowOff>
    </xdr:from>
    <xdr:to>
      <xdr:col>9</xdr:col>
      <xdr:colOff>476250</xdr:colOff>
      <xdr:row>36</xdr:row>
      <xdr:rowOff>95250</xdr:rowOff>
    </xdr:to>
    <xdr:pic>
      <xdr:nvPicPr>
        <xdr:cNvPr id="2" name="图片 1"/>
        <xdr:cNvPicPr>
          <a:picLocks noChangeAspect="1"/>
        </xdr:cNvPicPr>
      </xdr:nvPicPr>
      <xdr:blipFill>
        <a:blip r:embed="rId1"/>
        <a:stretch>
          <a:fillRect/>
        </a:stretch>
      </xdr:blipFill>
      <xdr:spPr>
        <a:xfrm>
          <a:off x="3400425" y="4638675"/>
          <a:ext cx="5943600" cy="1628775"/>
        </a:xfrm>
        <a:prstGeom prst="rect">
          <a:avLst/>
        </a:prstGeom>
        <a:noFill/>
        <a:ln w="9525">
          <a:noFill/>
        </a:ln>
      </xdr:spPr>
    </xdr:pic>
    <xdr:clientData/>
  </xdr:twoCellAnchor>
  <xdr:twoCellAnchor editAs="oneCell">
    <xdr:from>
      <xdr:col>1</xdr:col>
      <xdr:colOff>190500</xdr:colOff>
      <xdr:row>8</xdr:row>
      <xdr:rowOff>152400</xdr:rowOff>
    </xdr:from>
    <xdr:to>
      <xdr:col>10</xdr:col>
      <xdr:colOff>38100</xdr:colOff>
      <xdr:row>25</xdr:row>
      <xdr:rowOff>19050</xdr:rowOff>
    </xdr:to>
    <xdr:pic>
      <xdr:nvPicPr>
        <xdr:cNvPr id="3" name="图片 2"/>
        <xdr:cNvPicPr>
          <a:picLocks noChangeAspect="1"/>
        </xdr:cNvPicPr>
      </xdr:nvPicPr>
      <xdr:blipFill>
        <a:blip r:embed="rId2"/>
        <a:stretch>
          <a:fillRect/>
        </a:stretch>
      </xdr:blipFill>
      <xdr:spPr>
        <a:xfrm>
          <a:off x="3571875" y="1524000"/>
          <a:ext cx="6019800" cy="2781300"/>
        </a:xfrm>
        <a:prstGeom prst="rect">
          <a:avLst/>
        </a:prstGeom>
        <a:noFill/>
        <a:ln w="9525">
          <a:noFill/>
        </a:ln>
      </xdr:spPr>
    </xdr:pic>
    <xdr:clientData/>
  </xdr:twoCellAnchor>
  <xdr:twoCellAnchor editAs="oneCell">
    <xdr:from>
      <xdr:col>10</xdr:col>
      <xdr:colOff>495300</xdr:colOff>
      <xdr:row>1</xdr:row>
      <xdr:rowOff>96520</xdr:rowOff>
    </xdr:from>
    <xdr:to>
      <xdr:col>19</xdr:col>
      <xdr:colOff>47625</xdr:colOff>
      <xdr:row>25</xdr:row>
      <xdr:rowOff>58420</xdr:rowOff>
    </xdr:to>
    <xdr:pic>
      <xdr:nvPicPr>
        <xdr:cNvPr id="4" name="图片 3"/>
        <xdr:cNvPicPr>
          <a:picLocks noChangeAspect="1"/>
        </xdr:cNvPicPr>
      </xdr:nvPicPr>
      <xdr:blipFill>
        <a:blip r:embed="rId3"/>
        <a:stretch>
          <a:fillRect/>
        </a:stretch>
      </xdr:blipFill>
      <xdr:spPr>
        <a:xfrm>
          <a:off x="10048875" y="267970"/>
          <a:ext cx="5724525" cy="40767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5&#24180;05&#26376;20&#26085;\&#12304;&#31119;&#24314;&#12305;&#28467;&#24030;&#21488;&#21830;&#25237;&#36164;&#21306;&#20013;&#24515;&#22478;&#21306;&#24066;&#25919;&#37197;&#22871;&#24037;&#31243;&#65288;4km2&#36335;&#32593;&#65289;\20150721&#20161;&#21644;&#21335;&#36335;&#21021;&#27493;&#35774;&#35745;&#65292;&#32418;&#32447;&#21464;&#31364;&#20462;&#25913;&#35774;&#35745;&#65288;&#26368;&#32456;&#31295;&#22312;&#26417;&#28459;&#33673;&#65289;\&#26417;&#28459;&#33673;&#23436;&#25104;\&#24464;&#20806;&#19996;\&#21021;&#35774;\&#40644;&#28006;&#27743;&#24178;&#27969;&#26032;&#22686;&#38450;&#27946;&#24037;&#31243;A2&#26631;\&#27700;&#21033;&#22522;&#30784;&#21333;&#20215;&#65288;A2&#21021;&#3577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5&#24180;05&#26376;20&#26085;\&#12304;&#31119;&#24314;&#12305;&#28467;&#24030;&#21488;&#21830;&#25237;&#36164;&#21306;&#20013;&#24515;&#22478;&#21306;&#24066;&#25919;&#37197;&#22871;&#24037;&#31243;&#65288;4km2&#36335;&#32593;&#65289;\20150721&#20161;&#21644;&#21335;&#36335;&#21021;&#27493;&#35774;&#35745;&#65292;&#32418;&#32447;&#21464;&#31364;&#20462;&#25913;&#35774;&#35745;&#65288;&#26368;&#32456;&#31295;&#22312;&#26417;&#28459;&#33673;&#65289;\&#26417;&#28459;&#33673;&#23436;&#25104;\2007&#24180;&#24037;&#31243;\02&#20108;&#29615;&#32447;\1#&#21464;&#35745;&#31639;&#2007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5&#24180;05&#26376;20&#26085;\&#12304;&#31119;&#24314;&#12305;&#28467;&#24030;&#21488;&#21830;&#25237;&#36164;&#21306;&#20013;&#24515;&#22478;&#21306;&#24066;&#25919;&#37197;&#22871;&#24037;&#31243;&#65288;4km2&#36335;&#32593;&#65289;\20150721&#20161;&#21644;&#21335;&#36335;&#21021;&#27493;&#35774;&#35745;&#65292;&#32418;&#32447;&#21464;&#31364;&#20462;&#25913;&#35774;&#35745;&#65288;&#26368;&#32456;&#31295;&#22312;&#26417;&#28459;&#33673;&#65289;\&#26417;&#28459;&#33673;&#23436;&#25104;\2002file\&#30707;&#27934;&#21475;&#26631;&#20070;&#35745;&#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016;&#23159;&#24037;&#20316;\&#19977;&#27743;&#38215;\&#21457;&#36865;&#30005;&#23376;&#37038;&#20214;__3.3&#30005;&#27668;_&#28023;&#21475;&#32654;&#20848;&#21306;&#19977;&#27743;&#38215;&#27745;&#27700;&#22788;&#29702;&#21378;---&#30005;&#27668;&#21450;&#33258;&#25511;&#26448;&#26009;&#34920;2020.02.docx,_3.4&#32467;&#26500;_&#19977;&#27743;&#38215;&#38215;&#22495;&#27745;&#27700;&#22788;&#29702;&#21378;&#32467;&#26500;&#24037;&#31243;&#37327;--C-02.doc,_3.1&#22330;&#31449;_&#25490;&#27700;&#24037;&#31243;&#25968;&#37327;&#20132;&#25509;&#21333;--&#28023;&#21475;&#24066;&#32654;&#20848;&#21306;&#19977;&#27743;&#38215;&#38215;&#22495;&#27745;&#27700;&#22788;&#29702;&#21378;&#21450;&#37197;&#22871;&#31649;&#32593;&#24037;&#31243;-&#65288;&#22330;&#31449;&#65289;20200224_.doc\ANALYSIS\REGRESS.XLA"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5&#24180;05&#26376;20&#26085;\&#12304;&#31119;&#24314;&#12305;&#28467;&#24030;&#21488;&#21830;&#25237;&#36164;&#21306;&#20013;&#24515;&#22478;&#21306;&#24066;&#25919;&#37197;&#22871;&#24037;&#31243;&#65288;4km2&#36335;&#32593;&#65289;\20150721&#20161;&#21644;&#21335;&#36335;&#21021;&#27493;&#35774;&#35745;&#65292;&#32418;&#32447;&#21464;&#31364;&#20462;&#25913;&#35774;&#35745;&#65288;&#26368;&#32456;&#31295;&#22312;&#26417;&#28459;&#33673;&#65289;\&#26417;&#28459;&#33673;&#23436;&#25104;\&#22791;&#20221;\&#22791;&#20221;1\&#25307;&#25237;&#26631;\&#21494;&#27053;&#22616;&#27700;&#38392;&#25237;&#26631;\&#27700;&#21033;&#22522;&#30784;&#21333;&#20215;&#65288;&#21494;&#27053;&#22616;&#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15&#24180;05&#26376;20&#26085;\&#12304;&#31119;&#24314;&#12305;&#28467;&#24030;&#21488;&#21830;&#25237;&#36164;&#21306;&#20013;&#24515;&#22478;&#21306;&#24066;&#25919;&#37197;&#22871;&#24037;&#31243;&#65288;4km2&#36335;&#32593;&#65289;\20150721&#20161;&#21644;&#21335;&#36335;&#21021;&#27493;&#35774;&#35745;&#65292;&#32418;&#32447;&#21464;&#31364;&#20462;&#25913;&#35774;&#35745;&#65288;&#26368;&#32456;&#31295;&#22312;&#26417;&#28459;&#33673;&#65289;\&#26417;&#28459;&#33673;&#23436;&#25104;\WINDOWS\TEMP\SUPPLY-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15&#24180;05&#26376;20&#26085;\&#12304;&#31119;&#24314;&#12305;&#28467;&#24030;&#21488;&#21830;&#25237;&#36164;&#21306;&#20013;&#24515;&#22478;&#21306;&#24066;&#25919;&#37197;&#22871;&#24037;&#31243;&#65288;4km2&#36335;&#32593;&#65289;\20150721&#20161;&#21644;&#21335;&#36335;&#21021;&#27493;&#35774;&#35745;&#65292;&#32418;&#32447;&#21464;&#31364;&#20462;&#25913;&#35774;&#35745;&#65288;&#26368;&#32456;&#31295;&#22312;&#26417;&#28459;&#33673;&#65289;\&#26417;&#28459;&#33673;&#23436;&#25104;\2&#21487;&#30740;\&#24191;&#20013;&#36335;&#27893;&#31449;\1&#39044;&#21487;&#30740;\WINDOWS\TEMP\SUPPLY-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材料单价"/>
      <sheetName val="打印材料"/>
      <sheetName val="砼级配"/>
      <sheetName val="机械"/>
      <sheetName val="机械挖土"/>
      <sheetName val="汽车运土"/>
      <sheetName val="挖淤泥"/>
      <sheetName val="回填土(筑坝）"/>
      <sheetName val="回填土"/>
      <sheetName val="节制闸混凝土"/>
      <sheetName val="素砼垫层"/>
      <sheetName val="碎石垫层1"/>
      <sheetName val="土工布"/>
      <sheetName val="浆砌块石护底"/>
      <sheetName val="灌砌块石护底 "/>
      <sheetName val="灌砌块石护坡"/>
      <sheetName val="素砼格梗"/>
      <sheetName val="防冲槽抛石"/>
      <sheetName val="抛石每增运1KM"/>
      <sheetName val="碎石排水棱体"/>
      <sheetName val="钢筋"/>
      <sheetName val="无纺布铺设"/>
      <sheetName val="机械压实回填"/>
      <sheetName val="三渣垫层 "/>
      <sheetName val="砼运输"/>
      <sheetName val="c25扶垛式挡土墙"/>
      <sheetName val="c25水闸底板"/>
      <sheetName val="c30水闸底板"/>
      <sheetName val="c25胸墙"/>
      <sheetName val="c25直墙"/>
      <sheetName val="c30直墙"/>
      <sheetName val="c25水闸底板2"/>
      <sheetName val="c25护坦"/>
      <sheetName val="c25悬臂式挡土墙墙"/>
      <sheetName val="混凝土预制桩 &lt;=10米"/>
      <sheetName val="混凝土预制桩&gt;10米"/>
      <sheetName val="打预制桩"/>
      <sheetName val="灌注砼"/>
      <sheetName val="船闸混凝土"/>
      <sheetName val="土围堰填筑"/>
      <sheetName val="土围堰拆除"/>
      <sheetName val="伸缩缝"/>
      <sheetName val="橡胶护弦"/>
      <sheetName val="橡胶伸缩缝 "/>
      <sheetName val="PVC排水管"/>
      <sheetName val="草土围堰填筑"/>
      <sheetName val="草土围堰拆除"/>
      <sheetName val="钢板桩围堰"/>
      <sheetName val="钢板桩围堰 (堰高加1米)"/>
      <sheetName val="钢板桩围堰 (桩入土加1米) "/>
      <sheetName val="浆砌块石护坡"/>
      <sheetName val="c20混凝土护脚"/>
      <sheetName val="c25混凝土护脚 "/>
      <sheetName val="浆砌块石挡墙"/>
      <sheetName val="砂砾石基层(15)"/>
      <sheetName val="砂砾石基层(20)"/>
      <sheetName val="混凝土路面(20)"/>
      <sheetName val="混凝土路面(15)"/>
      <sheetName val="沥青路面5"/>
      <sheetName val="沥青路面4"/>
      <sheetName val="沥青碎石"/>
      <sheetName val="泥结碎石路面"/>
      <sheetName val="拆除浆砌块石"/>
      <sheetName val="拆除砖结构"/>
      <sheetName val="拆除钢砼结构"/>
      <sheetName val="c30桥面铺装层"/>
      <sheetName val="预制空心板"/>
      <sheetName val="闸墩"/>
      <sheetName val="桥墩"/>
      <sheetName val="楼梯"/>
      <sheetName val="公路桥"/>
      <sheetName val="工作桥"/>
      <sheetName val="安装定额"/>
      <sheetName val="A1型"/>
      <sheetName val="A2型"/>
      <sheetName val="A3型 "/>
      <sheetName val="A4型 "/>
      <sheetName val="A5型 "/>
      <sheetName val="A6型 "/>
      <sheetName val="A7型 "/>
      <sheetName val="H1型"/>
      <sheetName val="H2型 "/>
      <sheetName val="H3型"/>
      <sheetName val="H4型 "/>
      <sheetName val="A型"/>
      <sheetName val="防汛通道"/>
      <sheetName val="建筑概算(黄浦江)"/>
      <sheetName val="建筑概算(春申塘) "/>
      <sheetName val="建筑概算(六磊塘)"/>
      <sheetName val="建筑概算(俞塘)"/>
      <sheetName val="建筑概算(北横泾) "/>
      <sheetName val="建筑概算(北竹港)"/>
      <sheetName val="建筑概算(北沙港)"/>
      <sheetName val="建筑概算(淀浦河)"/>
      <sheetName val="泵闸(华泾港)1"/>
      <sheetName val="泵闸(工农河)2"/>
      <sheetName val="泵闸(铁路河)3"/>
      <sheetName val="节制闸(六磊塘)4"/>
      <sheetName val="节制闸(俞塘)5"/>
      <sheetName val="节制闸(北横泾)6"/>
      <sheetName val="泵涵闸(和尚浜)7 "/>
      <sheetName val="套闸(北沙港)8"/>
      <sheetName val="节制闸(北竹港)9"/>
      <sheetName val="泵涵闸(华泾浜)10"/>
      <sheetName val="节制闸(塘泗泾) 11"/>
      <sheetName val="节制闸(曹家港)12"/>
      <sheetName val="加高加固(梅陇港)"/>
      <sheetName val="加高加固(横沥港南)"/>
      <sheetName val="加高加固(横沥港北)"/>
      <sheetName val="加高加固(新泾港)"/>
      <sheetName val="加高加固(淀浦河东)"/>
      <sheetName val="机电设备 (2)"/>
      <sheetName val="机电设备"/>
      <sheetName val="金属结构"/>
      <sheetName val="金属结构 (2)"/>
      <sheetName val="总概算 "/>
      <sheetName val="临时工程"/>
      <sheetName val="其他费用"/>
      <sheetName val="材料用量"/>
      <sheetName val="设备费"/>
      <sheetName val="设计费"/>
      <sheetName val="主要工程数量及"/>
      <sheetName val="Sheet1"/>
      <sheetName val="征租地"/>
      <sheetName val="材料"/>
      <sheetName val="设计费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
      <sheetName val="J"/>
      <sheetName val="K"/>
      <sheetName val="L"/>
      <sheetName val="电缆统计"/>
      <sheetName val="一览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细格栅"/>
      <sheetName val="配水渠道"/>
      <sheetName val="出水泵房"/>
      <sheetName val="电缆隧道"/>
      <sheetName val="电缆隧道（总量）"/>
      <sheetName val="电缆沟"/>
      <sheetName val="电缆沟（总量）"/>
      <sheetName val="风道"/>
      <sheetName val="风道（总量）"/>
      <sheetName val="sheet1"/>
      <sheetName val="石洞口标书计算"/>
      <sheetName val="REGRESS"/>
    </sheetNames>
    <definedNames>
      <definedName name="a"/>
      <definedName name="aa"/>
      <definedName name="as"/>
      <definedName name="B"/>
      <definedName name="cc"/>
      <definedName name="ccc"/>
      <definedName name="cccc"/>
      <definedName name="ccccc"/>
      <definedName name="ccccccc"/>
      <definedName name="gh"/>
      <definedName name="ghh"/>
      <definedName name="hh"/>
      <definedName name="hj"/>
      <definedName name="io"/>
      <definedName name="jk"/>
      <definedName name="jkl"/>
      <definedName name="liu"/>
      <definedName name="lui"/>
      <definedName name="poio"/>
      <definedName name="q"/>
      <definedName name="s"/>
      <definedName name="x"/>
      <definedName name="xx"/>
      <definedName name="yuo"/>
      <definedName name="z"/>
      <definedName name="zx"/>
      <definedName name="zz"/>
      <definedName name="池"/>
      <definedName name="池池"/>
      <definedName name="池池池"/>
      <definedName name="二"/>
      <definedName name="二泵设备底稿"/>
      <definedName name="起"/>
      <definedName name="清"/>
      <definedName name="清水池管配件"/>
      <definedName name="市场价"/>
      <definedName name="数据查询"/>
      <definedName name="数据库管理"/>
      <definedName name="土方工程"/>
      <definedName name="一"/>
      <definedName name="有机肥生产车间"/>
      <definedName name="圆形构筑物"/>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GRESS"/>
      <sheetName val="sheet1"/>
    </sheetNames>
    <sheetDataSet>
      <sheetData sheetId="0"/>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材料单价"/>
      <sheetName val="打印材料"/>
      <sheetName val="砼级配"/>
      <sheetName val="机械"/>
      <sheetName val="机械 (2)"/>
      <sheetName val="机械挖土"/>
      <sheetName val="汽车运土"/>
      <sheetName val="挖淤泥"/>
      <sheetName val="回填土"/>
      <sheetName val="节制闸混凝土"/>
      <sheetName val="素砼垫层"/>
      <sheetName val="碎石垫层1"/>
      <sheetName val="土工布"/>
      <sheetName val="浆砌块石护底"/>
      <sheetName val="素砼格梗"/>
      <sheetName val="防冲槽抛石"/>
      <sheetName val="抛石每增运1KM"/>
      <sheetName val="碎石排水棱体"/>
      <sheetName val="钢筋"/>
      <sheetName val="无纺布铺设"/>
      <sheetName val="机械压实回填"/>
      <sheetName val="三渣垫层 "/>
      <sheetName val="砼运输"/>
      <sheetName val="c25扶垛式挡土墙"/>
      <sheetName val="c25水闸底板"/>
      <sheetName val="c25直墙"/>
      <sheetName val="c25水闸底板2"/>
      <sheetName val="c25护坦"/>
      <sheetName val="c25悬臂式挡土墙墙"/>
      <sheetName val="混凝土预制桩"/>
      <sheetName val="船闸混凝土"/>
      <sheetName val="土围堰填筑"/>
      <sheetName val="土围堰拆除"/>
      <sheetName val="PVC排水管"/>
      <sheetName val="草土围堰填筑"/>
      <sheetName val="草土围堰拆除"/>
      <sheetName val="c30桥面铺装层"/>
      <sheetName val="沥青混凝土桥面铺装"/>
      <sheetName val="公路桥"/>
      <sheetName val="桥墩"/>
      <sheetName val="橡胶止水带"/>
      <sheetName val="橡胶护弦"/>
      <sheetName val="浆砌块石护坡"/>
      <sheetName val="c20混凝土护脚"/>
      <sheetName val="浆砌块石挡墙"/>
      <sheetName val="砂砾石基层"/>
      <sheetName val="沥青路面"/>
      <sheetName val="泥结碎石路面"/>
      <sheetName val="2"/>
      <sheetName val="3"/>
      <sheetName val="4"/>
      <sheetName val="5"/>
      <sheetName val="安装定额"/>
      <sheetName val="6"/>
      <sheetName val="7"/>
      <sheetName val="建筑概算"/>
      <sheetName val="机电设备"/>
      <sheetName val="金属结构"/>
      <sheetName val="总概算 "/>
      <sheetName val="临时工程"/>
      <sheetName val="其他费用"/>
      <sheetName val="材料用量"/>
      <sheetName val="闸设备费"/>
      <sheetName val="Sheet14"/>
      <sheetName val="Sheet15"/>
      <sheetName val="设计费"/>
      <sheetName val="sis.xlm"/>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refreshError="1"/>
      <sheetData sheetId="67"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is.xlm"/>
      <sheetName val="analy"/>
      <sheetName val="Sheet2"/>
      <sheetName val="ANALYSIS"/>
      <sheetName val="Sheet1"/>
      <sheetName val="成本表"/>
      <sheetName val="全部流量"/>
      <sheetName val="国内流量"/>
      <sheetName val="损益表"/>
      <sheetName val="资金应用"/>
      <sheetName val="负债表"/>
      <sheetName val="借款表"/>
      <sheetName val="REGRE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sis.xlm"/>
      <sheetName val="analy"/>
      <sheetName val="Sheet2"/>
      <sheetName val="ANALYSIS"/>
      <sheetName val="Sheet1"/>
      <sheetName val="成本表"/>
      <sheetName val="全部流量"/>
      <sheetName val="国内流量"/>
      <sheetName val="损益表"/>
      <sheetName val="资金应用"/>
      <sheetName val="负债表"/>
      <sheetName val="借款表"/>
      <sheetName val="材料单价"/>
      <sheetName val="不许动（隐藏）"/>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B1:AB142"/>
  <sheetViews>
    <sheetView showGridLines="0" tabSelected="1" workbookViewId="0">
      <selection activeCell="V1" sqref="V$1:AB$1048576"/>
    </sheetView>
  </sheetViews>
  <sheetFormatPr defaultColWidth="9" defaultRowHeight="18" customHeight="1"/>
  <cols>
    <col min="1" max="1" width="6.625" style="139" customWidth="1"/>
    <col min="2" max="2" width="5.5" style="139" customWidth="1"/>
    <col min="3" max="3" width="22" style="140" customWidth="1"/>
    <col min="4" max="4" width="8.875" style="139" customWidth="1"/>
    <col min="5" max="5" width="7.375" style="139" customWidth="1"/>
    <col min="6" max="6" width="6.75" style="139" customWidth="1"/>
    <col min="7" max="7" width="8.375" style="139" customWidth="1"/>
    <col min="8" max="8" width="8" style="139" customWidth="1"/>
    <col min="9" max="9" width="5.1" style="141" customWidth="1"/>
    <col min="10" max="10" width="7.25" style="141" customWidth="1"/>
    <col min="11" max="11" width="11" style="141" customWidth="1"/>
    <col min="12" max="12" width="8.25" style="139" customWidth="1"/>
    <col min="13" max="13" width="8.375" style="139" customWidth="1"/>
    <col min="14" max="14" width="6.625" style="139" customWidth="1"/>
    <col min="15" max="15" width="7.375" style="139" customWidth="1"/>
    <col min="16" max="16" width="8.875" style="139" customWidth="1"/>
    <col min="17" max="17" width="5.375" style="141" customWidth="1"/>
    <col min="18" max="18" width="8.25" style="141" customWidth="1"/>
    <col min="19" max="19" width="7.8" style="141" customWidth="1"/>
    <col min="20" max="20" width="9" style="141"/>
    <col min="21" max="21" width="19.2833333333333" style="142" customWidth="1"/>
    <col min="22" max="22" width="13.7666666666667" style="139" hidden="1" customWidth="1"/>
    <col min="23" max="23" width="9.375" style="139" hidden="1" customWidth="1"/>
    <col min="24" max="24" width="10.375" style="139" hidden="1" customWidth="1"/>
    <col min="25" max="25" width="9.375" style="139" hidden="1" customWidth="1"/>
    <col min="26" max="28" width="9" style="139" hidden="1" customWidth="1"/>
    <col min="29" max="41" width="9" style="139"/>
    <col min="42" max="16384" width="81.0083333333333" style="139"/>
  </cols>
  <sheetData>
    <row r="1" s="136" customFormat="1" ht="27" customHeight="1" spans="2:21">
      <c r="B1" s="143" t="s">
        <v>0</v>
      </c>
      <c r="C1" s="144"/>
      <c r="D1" s="143"/>
      <c r="E1" s="143"/>
      <c r="F1" s="143"/>
      <c r="G1" s="143"/>
      <c r="H1" s="143"/>
      <c r="I1" s="144"/>
      <c r="J1" s="144"/>
      <c r="K1" s="187"/>
      <c r="L1" s="143"/>
      <c r="M1" s="143"/>
      <c r="N1" s="143"/>
      <c r="O1" s="143"/>
      <c r="P1" s="143"/>
      <c r="Q1" s="144"/>
      <c r="R1" s="144"/>
      <c r="S1" s="187"/>
      <c r="T1" s="187"/>
      <c r="U1" s="214"/>
    </row>
    <row r="2" s="136" customFormat="1" customHeight="1" spans="2:21">
      <c r="B2" s="280" t="s">
        <v>1</v>
      </c>
      <c r="C2" s="146"/>
      <c r="D2" s="147"/>
      <c r="E2" s="147"/>
      <c r="F2" s="147"/>
      <c r="G2" s="147"/>
      <c r="H2" s="147"/>
      <c r="I2" s="188"/>
      <c r="J2" s="189"/>
      <c r="K2" s="189"/>
      <c r="L2" s="147"/>
      <c r="M2" s="147"/>
      <c r="N2" s="147"/>
      <c r="O2" s="147"/>
      <c r="P2" s="147"/>
      <c r="Q2" s="188"/>
      <c r="R2" s="189"/>
      <c r="S2" s="189"/>
      <c r="T2" s="189"/>
      <c r="U2" s="215"/>
    </row>
    <row r="3" s="136" customFormat="1" ht="20.25" customHeight="1" spans="2:28">
      <c r="B3" s="148" t="s">
        <v>2</v>
      </c>
      <c r="C3" s="149" t="s">
        <v>3</v>
      </c>
      <c r="D3" s="150" t="s">
        <v>4</v>
      </c>
      <c r="E3" s="150"/>
      <c r="F3" s="150"/>
      <c r="G3" s="150"/>
      <c r="H3" s="150"/>
      <c r="I3" s="152" t="s">
        <v>5</v>
      </c>
      <c r="J3" s="152"/>
      <c r="K3" s="152"/>
      <c r="L3" s="150" t="s">
        <v>6</v>
      </c>
      <c r="M3" s="150"/>
      <c r="N3" s="150"/>
      <c r="O3" s="150"/>
      <c r="P3" s="150"/>
      <c r="Q3" s="152" t="s">
        <v>7</v>
      </c>
      <c r="R3" s="152"/>
      <c r="S3" s="152"/>
      <c r="T3" s="149" t="s">
        <v>8</v>
      </c>
      <c r="U3" s="216" t="s">
        <v>9</v>
      </c>
      <c r="V3" s="136" t="s">
        <v>10</v>
      </c>
      <c r="W3" s="136" t="s">
        <v>11</v>
      </c>
      <c r="X3" s="136" t="s">
        <v>12</v>
      </c>
      <c r="Y3" s="136" t="s">
        <v>13</v>
      </c>
      <c r="Z3" s="136" t="s">
        <v>14</v>
      </c>
      <c r="AA3" s="136" t="s">
        <v>15</v>
      </c>
      <c r="AB3" s="136" t="s">
        <v>16</v>
      </c>
    </row>
    <row r="4" s="136" customFormat="1" ht="42" customHeight="1" spans="2:28">
      <c r="B4" s="148"/>
      <c r="C4" s="151"/>
      <c r="D4" s="152" t="s">
        <v>17</v>
      </c>
      <c r="E4" s="152" t="s">
        <v>18</v>
      </c>
      <c r="F4" s="152" t="s">
        <v>19</v>
      </c>
      <c r="G4" s="152" t="s">
        <v>20</v>
      </c>
      <c r="H4" s="152" t="s">
        <v>21</v>
      </c>
      <c r="I4" s="152" t="s">
        <v>22</v>
      </c>
      <c r="J4" s="152" t="s">
        <v>23</v>
      </c>
      <c r="K4" s="152" t="s">
        <v>24</v>
      </c>
      <c r="L4" s="152" t="s">
        <v>17</v>
      </c>
      <c r="M4" s="152" t="s">
        <v>18</v>
      </c>
      <c r="N4" s="152" t="s">
        <v>19</v>
      </c>
      <c r="O4" s="152" t="s">
        <v>20</v>
      </c>
      <c r="P4" s="152" t="s">
        <v>21</v>
      </c>
      <c r="Q4" s="152" t="s">
        <v>22</v>
      </c>
      <c r="R4" s="152" t="s">
        <v>23</v>
      </c>
      <c r="S4" s="152" t="s">
        <v>24</v>
      </c>
      <c r="T4" s="151"/>
      <c r="U4" s="216"/>
      <c r="Y4" s="136" t="e">
        <f>SUM(#REF!,#REF!,#REF!)</f>
        <v>#REF!</v>
      </c>
      <c r="Z4" s="240" t="e">
        <f>+$H$5/Y4*10000</f>
        <v>#REF!</v>
      </c>
      <c r="AA4" s="136" t="e">
        <f>+#REF!/1000</f>
        <v>#REF!</v>
      </c>
      <c r="AB4" s="240" t="e">
        <f>+$H$5/AA4*10000</f>
        <v>#REF!</v>
      </c>
    </row>
    <row r="5" s="136" customFormat="1" ht="24" customHeight="1" spans="2:22">
      <c r="B5" s="153"/>
      <c r="C5" s="154" t="s">
        <v>25</v>
      </c>
      <c r="D5" s="155">
        <f>SUBTOTAL(9,D7:D11)</f>
        <v>1203.803751</v>
      </c>
      <c r="E5" s="155">
        <f>SUBTOTAL(9,E7:E11)</f>
        <v>655.6</v>
      </c>
      <c r="F5" s="155"/>
      <c r="G5" s="155"/>
      <c r="H5" s="156">
        <f>SUBTOTAL(9,H6:H11)</f>
        <v>1859.403751</v>
      </c>
      <c r="I5" s="190"/>
      <c r="J5" s="191"/>
      <c r="K5" s="190"/>
      <c r="L5" s="155">
        <f>L6</f>
        <v>906.67</v>
      </c>
      <c r="M5" s="155">
        <f>M6</f>
        <v>574.61</v>
      </c>
      <c r="N5" s="155"/>
      <c r="O5" s="155"/>
      <c r="P5" s="156">
        <f>L5+M5+N5+O5</f>
        <v>1481.28</v>
      </c>
      <c r="Q5" s="190"/>
      <c r="R5" s="191"/>
      <c r="S5" s="190"/>
      <c r="T5" s="217">
        <f t="shared" ref="T5:T35" si="0">P5-H5</f>
        <v>-378.123751</v>
      </c>
      <c r="U5" s="218"/>
      <c r="V5" s="219" t="s">
        <v>26</v>
      </c>
    </row>
    <row r="6" s="137" customFormat="1" ht="24" customHeight="1" spans="2:24">
      <c r="B6" s="148" t="s">
        <v>27</v>
      </c>
      <c r="C6" s="154" t="s">
        <v>28</v>
      </c>
      <c r="D6" s="155">
        <f>SUBTOTAL(9,D7:D10)</f>
        <v>1203.803751</v>
      </c>
      <c r="E6" s="155">
        <f>SUBTOTAL(9,E7:E10)</f>
        <v>655.6</v>
      </c>
      <c r="F6" s="155"/>
      <c r="G6" s="155"/>
      <c r="H6" s="156">
        <f>SUBTOTAL(9,H7:H11)</f>
        <v>1859.403751</v>
      </c>
      <c r="I6" s="192" t="s">
        <v>29</v>
      </c>
      <c r="J6" s="193">
        <f>J10</f>
        <v>564000</v>
      </c>
      <c r="K6" s="194">
        <f t="shared" ref="K6:K9" si="1">H6*10000/J6</f>
        <v>32.9681516134752</v>
      </c>
      <c r="L6" s="155">
        <f t="shared" ref="L6:N6" si="2">SUBTOTAL(9,L7:L10)</f>
        <v>906.67</v>
      </c>
      <c r="M6" s="155">
        <f t="shared" si="2"/>
        <v>574.61</v>
      </c>
      <c r="N6" s="155"/>
      <c r="O6" s="155"/>
      <c r="P6" s="156">
        <f>SUBTOTAL(9,P7:P11)</f>
        <v>1481.28</v>
      </c>
      <c r="Q6" s="192" t="s">
        <v>29</v>
      </c>
      <c r="R6" s="193">
        <f>R10</f>
        <v>564000</v>
      </c>
      <c r="S6" s="194">
        <f t="shared" ref="S6:S8" si="3">P6*10000/R6</f>
        <v>26.263829787234</v>
      </c>
      <c r="T6" s="217">
        <f t="shared" si="0"/>
        <v>-378.123751</v>
      </c>
      <c r="U6" s="220"/>
      <c r="V6" s="219"/>
      <c r="X6" s="137">
        <v>1.05</v>
      </c>
    </row>
    <row r="7" s="136" customFormat="1" ht="24" customHeight="1" outlineLevel="2" spans="2:26">
      <c r="B7" s="153">
        <v>1</v>
      </c>
      <c r="C7" s="157" t="s">
        <v>30</v>
      </c>
      <c r="D7" s="158">
        <v>417.020138</v>
      </c>
      <c r="E7" s="159"/>
      <c r="F7" s="159"/>
      <c r="G7" s="159"/>
      <c r="H7" s="160">
        <f t="shared" ref="H7:H9" si="4">SUM(D7:G7)</f>
        <v>417.020138</v>
      </c>
      <c r="I7" s="195" t="s">
        <v>29</v>
      </c>
      <c r="J7" s="191">
        <v>9273.7</v>
      </c>
      <c r="K7" s="190">
        <f t="shared" si="1"/>
        <v>449.680427445356</v>
      </c>
      <c r="L7" s="158">
        <v>371.48</v>
      </c>
      <c r="M7" s="159"/>
      <c r="N7" s="159"/>
      <c r="O7" s="159"/>
      <c r="P7" s="160">
        <f t="shared" ref="P7:P9" si="5">SUM(L7:O7)</f>
        <v>371.48</v>
      </c>
      <c r="Q7" s="195" t="s">
        <v>29</v>
      </c>
      <c r="R7" s="191">
        <v>9273.7</v>
      </c>
      <c r="S7" s="190">
        <f t="shared" si="3"/>
        <v>400.57366531158</v>
      </c>
      <c r="T7" s="217">
        <f t="shared" si="0"/>
        <v>-45.540138</v>
      </c>
      <c r="U7" s="218"/>
      <c r="V7">
        <v>4170201.38</v>
      </c>
      <c r="W7" s="221">
        <f>V7/J7</f>
        <v>449.680427445356</v>
      </c>
      <c r="X7" s="137">
        <f>W7*$X$6</f>
        <v>472.164448817624</v>
      </c>
      <c r="Z7" s="136" t="s">
        <v>31</v>
      </c>
    </row>
    <row r="8" s="136" customFormat="1" ht="60" customHeight="1" outlineLevel="2" spans="2:24">
      <c r="B8" s="153">
        <v>2</v>
      </c>
      <c r="C8" s="157" t="s">
        <v>32</v>
      </c>
      <c r="D8" s="158">
        <v>697.163813</v>
      </c>
      <c r="E8" s="159"/>
      <c r="F8" s="159"/>
      <c r="G8" s="159"/>
      <c r="H8" s="160">
        <f t="shared" si="4"/>
        <v>697.163813</v>
      </c>
      <c r="I8" s="195" t="s">
        <v>29</v>
      </c>
      <c r="J8" s="196">
        <v>10620.5</v>
      </c>
      <c r="K8" s="190">
        <f t="shared" si="1"/>
        <v>656.432195282708</v>
      </c>
      <c r="L8" s="158">
        <v>460.54</v>
      </c>
      <c r="M8" s="159"/>
      <c r="N8" s="159"/>
      <c r="O8" s="159"/>
      <c r="P8" s="160">
        <f t="shared" si="5"/>
        <v>460.54</v>
      </c>
      <c r="Q8" s="195" t="s">
        <v>29</v>
      </c>
      <c r="R8" s="196">
        <v>10620.5</v>
      </c>
      <c r="S8" s="190">
        <f t="shared" si="3"/>
        <v>433.63306812297</v>
      </c>
      <c r="T8" s="217">
        <f t="shared" si="0"/>
        <v>-236.623813</v>
      </c>
      <c r="U8" s="222" t="s">
        <v>33</v>
      </c>
      <c r="V8" s="223">
        <v>6971638.13</v>
      </c>
      <c r="W8" s="221">
        <f>V8/J8</f>
        <v>656.432195282708</v>
      </c>
      <c r="X8" s="137">
        <f>W8*$X$6</f>
        <v>689.253805046843</v>
      </c>
    </row>
    <row r="9" s="136" customFormat="1" ht="51" customHeight="1" outlineLevel="2" spans="2:24">
      <c r="B9" s="153">
        <v>3</v>
      </c>
      <c r="C9" s="157" t="s">
        <v>34</v>
      </c>
      <c r="D9" s="158">
        <v>89.6198</v>
      </c>
      <c r="E9" s="159"/>
      <c r="F9" s="159"/>
      <c r="G9" s="159"/>
      <c r="H9" s="160">
        <f t="shared" si="4"/>
        <v>89.6198</v>
      </c>
      <c r="I9" s="195"/>
      <c r="J9" s="196"/>
      <c r="K9" s="190"/>
      <c r="L9" s="158">
        <v>74.65</v>
      </c>
      <c r="M9" s="159"/>
      <c r="N9" s="159"/>
      <c r="O9" s="159"/>
      <c r="P9" s="160">
        <f t="shared" si="5"/>
        <v>74.65</v>
      </c>
      <c r="Q9" s="195"/>
      <c r="R9" s="196"/>
      <c r="S9" s="190"/>
      <c r="T9" s="217">
        <f t="shared" si="0"/>
        <v>-14.9698</v>
      </c>
      <c r="U9" s="222" t="s">
        <v>35</v>
      </c>
      <c r="V9" s="223">
        <v>896198</v>
      </c>
      <c r="W9" s="221" t="e">
        <f>V9/J9</f>
        <v>#DIV/0!</v>
      </c>
      <c r="X9" s="137" t="e">
        <f>W9*$X$6</f>
        <v>#DIV/0!</v>
      </c>
    </row>
    <row r="10" s="136" customFormat="1" ht="21" customHeight="1" outlineLevel="2" spans="2:24">
      <c r="B10" s="153">
        <v>4</v>
      </c>
      <c r="C10" s="157" t="s">
        <v>36</v>
      </c>
      <c r="D10" s="158"/>
      <c r="E10" s="158">
        <v>655.6</v>
      </c>
      <c r="F10" s="159"/>
      <c r="G10" s="161"/>
      <c r="H10" s="160">
        <f>SUM(E10:G10)</f>
        <v>655.6</v>
      </c>
      <c r="I10" s="197" t="s">
        <v>29</v>
      </c>
      <c r="J10" s="198">
        <f>56.4*10000</f>
        <v>564000</v>
      </c>
      <c r="K10" s="199">
        <f>H10/J10*10000</f>
        <v>11.6241134751773</v>
      </c>
      <c r="L10" s="158"/>
      <c r="M10" s="158">
        <v>574.61</v>
      </c>
      <c r="N10" s="159"/>
      <c r="O10" s="161"/>
      <c r="P10" s="160">
        <f>SUM(M10:O10)</f>
        <v>574.61</v>
      </c>
      <c r="Q10" s="197" t="s">
        <v>29</v>
      </c>
      <c r="R10" s="198">
        <f>56.4*10000</f>
        <v>564000</v>
      </c>
      <c r="S10" s="199">
        <f>P10/R10*10000</f>
        <v>10.1881205673759</v>
      </c>
      <c r="T10" s="217">
        <f t="shared" si="0"/>
        <v>-80.99</v>
      </c>
      <c r="U10" s="218"/>
      <c r="V10" s="223">
        <v>7879147.92</v>
      </c>
      <c r="W10" s="221">
        <f>V10/J10</f>
        <v>13.9701204255319</v>
      </c>
      <c r="X10" s="137">
        <f>W10*$X$6</f>
        <v>14.6686264468085</v>
      </c>
    </row>
    <row r="11" s="136" customFormat="1" ht="21" customHeight="1" spans="2:23">
      <c r="B11" s="162"/>
      <c r="C11" s="157"/>
      <c r="D11" s="158"/>
      <c r="E11" s="159"/>
      <c r="F11" s="159"/>
      <c r="G11" s="159"/>
      <c r="H11" s="160"/>
      <c r="I11" s="197"/>
      <c r="J11" s="198"/>
      <c r="K11" s="200"/>
      <c r="L11" s="158"/>
      <c r="M11" s="159"/>
      <c r="N11" s="159"/>
      <c r="O11" s="159"/>
      <c r="P11" s="160"/>
      <c r="Q11" s="197"/>
      <c r="R11" s="198"/>
      <c r="S11" s="200"/>
      <c r="T11" s="217">
        <f t="shared" si="0"/>
        <v>0</v>
      </c>
      <c r="U11" s="224"/>
      <c r="V11" s="223"/>
      <c r="W11" s="225"/>
    </row>
    <row r="12" ht="21" customHeight="1" spans="2:22">
      <c r="B12" s="163"/>
      <c r="C12" s="281" t="s">
        <v>37</v>
      </c>
      <c r="D12" s="155">
        <f>+D5</f>
        <v>1203.803751</v>
      </c>
      <c r="E12" s="155">
        <f>+E5</f>
        <v>655.6</v>
      </c>
      <c r="F12" s="155">
        <v>0</v>
      </c>
      <c r="G12" s="155">
        <v>0</v>
      </c>
      <c r="H12" s="155">
        <f>SUM(D12:G12)</f>
        <v>1859.403751</v>
      </c>
      <c r="I12" s="191"/>
      <c r="J12" s="201"/>
      <c r="K12" s="201"/>
      <c r="L12" s="155">
        <f t="shared" ref="L12:O12" si="6">+L5</f>
        <v>906.67</v>
      </c>
      <c r="M12" s="155">
        <f t="shared" si="6"/>
        <v>574.61</v>
      </c>
      <c r="N12" s="155"/>
      <c r="O12" s="155"/>
      <c r="P12" s="155">
        <f t="shared" ref="P12:P15" si="7">SUM(L12:O12)</f>
        <v>1481.28</v>
      </c>
      <c r="Q12" s="191"/>
      <c r="R12" s="201"/>
      <c r="S12" s="201"/>
      <c r="T12" s="217">
        <f t="shared" si="0"/>
        <v>-378.123751</v>
      </c>
      <c r="U12" s="226"/>
      <c r="V12" s="182">
        <f>+G67</f>
        <v>0.63001431488016</v>
      </c>
    </row>
    <row r="13" ht="21" customHeight="1" spans="2:23">
      <c r="B13" s="153"/>
      <c r="C13" s="164" t="s">
        <v>38</v>
      </c>
      <c r="D13" s="165"/>
      <c r="E13" s="165"/>
      <c r="F13" s="165"/>
      <c r="G13" s="165">
        <v>343.465308120932</v>
      </c>
      <c r="H13" s="155">
        <v>343.465308120932</v>
      </c>
      <c r="I13" s="195"/>
      <c r="J13" s="196"/>
      <c r="K13" s="199"/>
      <c r="L13" s="165"/>
      <c r="M13" s="165"/>
      <c r="N13" s="165"/>
      <c r="O13" s="165">
        <f>ROUND(+SUM(O14:O35),2)</f>
        <v>192.24</v>
      </c>
      <c r="P13" s="155">
        <f t="shared" si="7"/>
        <v>192.24</v>
      </c>
      <c r="Q13" s="195"/>
      <c r="R13" s="196"/>
      <c r="S13" s="199"/>
      <c r="T13" s="217">
        <f t="shared" si="0"/>
        <v>-151.225308120932</v>
      </c>
      <c r="U13" s="227"/>
      <c r="V13" s="182">
        <f>+G68</f>
        <v>9.5579131285</v>
      </c>
      <c r="W13" s="139" t="e">
        <f>#REF!/H12</f>
        <v>#REF!</v>
      </c>
    </row>
    <row r="14" ht="21" customHeight="1" spans="2:22">
      <c r="B14" s="153">
        <v>1</v>
      </c>
      <c r="C14" s="166" t="s">
        <v>39</v>
      </c>
      <c r="D14" s="167"/>
      <c r="E14" s="167"/>
      <c r="F14" s="167"/>
      <c r="G14" s="167">
        <v>40.6865464090604</v>
      </c>
      <c r="H14" s="168">
        <v>40.6865464090604</v>
      </c>
      <c r="I14" s="202" t="s">
        <v>40</v>
      </c>
      <c r="J14" s="203"/>
      <c r="K14" s="204"/>
      <c r="L14" s="167"/>
      <c r="M14" s="167"/>
      <c r="N14" s="167"/>
      <c r="O14" s="167">
        <f>20+(P46-1000-30.89)*1.5%</f>
        <v>30.89465</v>
      </c>
      <c r="P14" s="168">
        <f t="shared" si="7"/>
        <v>30.89465</v>
      </c>
      <c r="Q14" s="202" t="s">
        <v>40</v>
      </c>
      <c r="R14" s="203"/>
      <c r="S14" s="204"/>
      <c r="T14" s="217">
        <f t="shared" si="0"/>
        <v>-9.7918964090604</v>
      </c>
      <c r="U14" s="227"/>
      <c r="V14" s="228" t="s">
        <v>41</v>
      </c>
    </row>
    <row r="15" ht="21" customHeight="1" spans="2:22">
      <c r="B15" s="153">
        <v>2</v>
      </c>
      <c r="C15" s="166" t="s">
        <v>42</v>
      </c>
      <c r="D15" s="167"/>
      <c r="E15" s="167"/>
      <c r="F15" s="167"/>
      <c r="G15" s="167">
        <v>18.59407927</v>
      </c>
      <c r="H15" s="168">
        <v>18.59407927</v>
      </c>
      <c r="I15" s="202" t="s">
        <v>43</v>
      </c>
      <c r="J15" s="203"/>
      <c r="K15" s="204"/>
      <c r="L15" s="167"/>
      <c r="M15" s="167"/>
      <c r="N15" s="167"/>
      <c r="O15" s="167">
        <f>P12*0.35%</f>
        <v>5.18448</v>
      </c>
      <c r="P15" s="168">
        <f t="shared" si="7"/>
        <v>5.18448</v>
      </c>
      <c r="Q15" s="202" t="s">
        <v>44</v>
      </c>
      <c r="R15" s="203"/>
      <c r="S15" s="204"/>
      <c r="T15" s="217">
        <f t="shared" si="0"/>
        <v>-13.40959927</v>
      </c>
      <c r="U15" s="227"/>
      <c r="V15" s="176"/>
    </row>
    <row r="16" ht="21" customHeight="1" spans="2:22">
      <c r="B16" s="153">
        <v>3</v>
      </c>
      <c r="C16" s="166" t="s">
        <v>45</v>
      </c>
      <c r="D16" s="163"/>
      <c r="E16" s="163"/>
      <c r="F16" s="163"/>
      <c r="G16" s="167"/>
      <c r="H16" s="167">
        <v>8.60213497005</v>
      </c>
      <c r="I16" s="202"/>
      <c r="J16" s="203"/>
      <c r="K16" s="204"/>
      <c r="L16" s="163"/>
      <c r="M16" s="163"/>
      <c r="N16" s="163"/>
      <c r="O16" s="167"/>
      <c r="P16" s="167">
        <f>+SUM(P17:P17)</f>
        <v>6.587584</v>
      </c>
      <c r="Q16" s="202"/>
      <c r="R16" s="203"/>
      <c r="S16" s="204"/>
      <c r="T16" s="217">
        <f t="shared" si="0"/>
        <v>-2.01455097005</v>
      </c>
      <c r="U16" s="227"/>
      <c r="V16" s="228" t="s">
        <v>46</v>
      </c>
    </row>
    <row r="17" ht="38" customHeight="1" spans="2:22">
      <c r="B17" s="169">
        <v>-1</v>
      </c>
      <c r="C17" s="166" t="s">
        <v>47</v>
      </c>
      <c r="D17" s="163"/>
      <c r="E17" s="163"/>
      <c r="F17" s="163"/>
      <c r="G17" s="167">
        <v>8.60213497005</v>
      </c>
      <c r="H17" s="168">
        <v>8.60213497005</v>
      </c>
      <c r="I17" s="202" t="s">
        <v>48</v>
      </c>
      <c r="J17" s="203"/>
      <c r="K17" s="204"/>
      <c r="L17" s="163"/>
      <c r="M17" s="163"/>
      <c r="N17" s="163"/>
      <c r="O17" s="167">
        <f>(1+400*0.7%+500*0.55%+(P5-1000)*0.35%)*0.8</f>
        <v>6.587584</v>
      </c>
      <c r="P17" s="168">
        <f>SUM(L17:O17)</f>
        <v>6.587584</v>
      </c>
      <c r="Q17" s="202" t="s">
        <v>49</v>
      </c>
      <c r="R17" s="203"/>
      <c r="S17" s="204"/>
      <c r="T17" s="217">
        <f t="shared" si="0"/>
        <v>-2.01455097005</v>
      </c>
      <c r="U17" s="227"/>
      <c r="V17" s="182">
        <f>+G68</f>
        <v>9.5579131285</v>
      </c>
    </row>
    <row r="18" ht="38" customHeight="1" spans="2:22">
      <c r="B18" s="153">
        <v>4</v>
      </c>
      <c r="C18" s="166" t="s">
        <v>50</v>
      </c>
      <c r="D18" s="167"/>
      <c r="E18" s="167"/>
      <c r="F18" s="167"/>
      <c r="G18" s="167">
        <v>6.6938685372</v>
      </c>
      <c r="H18" s="168">
        <v>6.6938685372</v>
      </c>
      <c r="I18" s="202" t="s">
        <v>51</v>
      </c>
      <c r="J18" s="203"/>
      <c r="K18" s="204"/>
      <c r="L18" s="167"/>
      <c r="M18" s="167"/>
      <c r="N18" s="167"/>
      <c r="O18" s="167">
        <f>P12*0.3%</f>
        <v>4.44384</v>
      </c>
      <c r="P18" s="168">
        <f t="shared" ref="P17:P26" si="8">SUM(L18:O18)</f>
        <v>4.44384</v>
      </c>
      <c r="Q18" s="202" t="s">
        <v>52</v>
      </c>
      <c r="R18" s="203"/>
      <c r="S18" s="204"/>
      <c r="T18" s="217">
        <f t="shared" si="0"/>
        <v>-2.2500285372</v>
      </c>
      <c r="U18" s="227"/>
      <c r="V18" s="182">
        <v>0</v>
      </c>
    </row>
    <row r="19" ht="38" customHeight="1" spans="2:22">
      <c r="B19" s="153">
        <v>5</v>
      </c>
      <c r="C19" s="282" t="s">
        <v>53</v>
      </c>
      <c r="D19" s="167"/>
      <c r="E19" s="167"/>
      <c r="F19" s="167"/>
      <c r="G19" s="167">
        <v>42.000954325344</v>
      </c>
      <c r="H19" s="168">
        <v>42.000954325344</v>
      </c>
      <c r="I19" s="202" t="s">
        <v>54</v>
      </c>
      <c r="J19" s="203"/>
      <c r="K19" s="204"/>
      <c r="L19" s="167"/>
      <c r="M19" s="167"/>
      <c r="N19" s="167"/>
      <c r="O19" s="167">
        <f>(30.1+(P5-1000)/2000*(78.1-30.1))*0.8</f>
        <v>33.320576</v>
      </c>
      <c r="P19" s="168">
        <f t="shared" si="8"/>
        <v>33.320576</v>
      </c>
      <c r="Q19" s="202" t="s">
        <v>55</v>
      </c>
      <c r="R19" s="203"/>
      <c r="S19" s="204"/>
      <c r="T19" s="217">
        <f t="shared" si="0"/>
        <v>-8.68037832534399</v>
      </c>
      <c r="U19" s="227"/>
      <c r="V19" s="229">
        <f>+H22/$H$12</f>
        <v>0.040177481287925</v>
      </c>
    </row>
    <row r="20" ht="38" customHeight="1" spans="2:22">
      <c r="B20" s="153">
        <v>6</v>
      </c>
      <c r="C20" s="166" t="s">
        <v>56</v>
      </c>
      <c r="D20" s="167"/>
      <c r="E20" s="167"/>
      <c r="F20" s="167"/>
      <c r="G20" s="167">
        <v>16.734671343</v>
      </c>
      <c r="H20" s="168">
        <v>16.734671343</v>
      </c>
      <c r="I20" s="202" t="s">
        <v>57</v>
      </c>
      <c r="J20" s="203"/>
      <c r="K20" s="204"/>
      <c r="L20" s="167"/>
      <c r="M20" s="167"/>
      <c r="N20" s="167"/>
      <c r="O20" s="167">
        <v>0</v>
      </c>
      <c r="P20" s="168">
        <f t="shared" si="8"/>
        <v>0</v>
      </c>
      <c r="Q20" s="202" t="s">
        <v>58</v>
      </c>
      <c r="R20" s="203"/>
      <c r="S20" s="204"/>
      <c r="T20" s="217">
        <f t="shared" si="0"/>
        <v>-16.734671343</v>
      </c>
      <c r="U20" s="227"/>
      <c r="V20" s="182"/>
    </row>
    <row r="21" ht="34" customHeight="1" spans="2:22">
      <c r="B21" s="153">
        <v>7</v>
      </c>
      <c r="C21" s="166" t="s">
        <v>59</v>
      </c>
      <c r="D21" s="163"/>
      <c r="E21" s="163"/>
      <c r="F21" s="163"/>
      <c r="G21" s="167">
        <v>1.69</v>
      </c>
      <c r="H21" s="168">
        <v>1.69</v>
      </c>
      <c r="I21" s="202" t="s">
        <v>60</v>
      </c>
      <c r="J21" s="203"/>
      <c r="K21" s="204"/>
      <c r="L21" s="163"/>
      <c r="M21" s="163"/>
      <c r="N21" s="163"/>
      <c r="O21" s="167">
        <f>(1+(P46/3000*1)*0.8)</f>
        <v>1.46858666666667</v>
      </c>
      <c r="P21" s="168">
        <f t="shared" si="8"/>
        <v>1.46858666666667</v>
      </c>
      <c r="Q21" s="202" t="s">
        <v>61</v>
      </c>
      <c r="R21" s="203"/>
      <c r="S21" s="204"/>
      <c r="T21" s="217">
        <f t="shared" si="0"/>
        <v>-0.221413333333333</v>
      </c>
      <c r="U21" s="227"/>
      <c r="V21" s="182"/>
    </row>
    <row r="22" ht="34" customHeight="1" spans="2:22">
      <c r="B22" s="153">
        <v>8</v>
      </c>
      <c r="C22" s="166" t="s">
        <v>62</v>
      </c>
      <c r="D22" s="163"/>
      <c r="E22" s="163"/>
      <c r="F22" s="163"/>
      <c r="G22" s="167">
        <v>74.7061594125</v>
      </c>
      <c r="H22" s="168">
        <v>74.7061594125</v>
      </c>
      <c r="I22" s="202" t="s">
        <v>60</v>
      </c>
      <c r="J22" s="203"/>
      <c r="K22" s="204"/>
      <c r="L22" s="163"/>
      <c r="M22" s="163"/>
      <c r="N22" s="163"/>
      <c r="O22" s="167">
        <f>(38.8+(P5-1000)/2000*(103.8-38.8))*0.8</f>
        <v>43.55328</v>
      </c>
      <c r="P22" s="168">
        <f t="shared" si="8"/>
        <v>43.55328</v>
      </c>
      <c r="Q22" s="202" t="s">
        <v>63</v>
      </c>
      <c r="R22" s="203"/>
      <c r="S22" s="204"/>
      <c r="T22" s="217">
        <f t="shared" si="0"/>
        <v>-31.1528794125</v>
      </c>
      <c r="U22" s="227"/>
      <c r="V22" s="182"/>
    </row>
    <row r="23" ht="34" customHeight="1" spans="2:22">
      <c r="B23" s="153">
        <v>9</v>
      </c>
      <c r="C23" s="166" t="s">
        <v>64</v>
      </c>
      <c r="D23" s="163"/>
      <c r="E23" s="163"/>
      <c r="F23" s="163"/>
      <c r="G23" s="167">
        <v>10.0408028058</v>
      </c>
      <c r="H23" s="168">
        <v>10.0408028058</v>
      </c>
      <c r="I23" s="202" t="s">
        <v>65</v>
      </c>
      <c r="J23" s="203"/>
      <c r="K23" s="204"/>
      <c r="L23" s="163"/>
      <c r="M23" s="163"/>
      <c r="N23" s="163"/>
      <c r="O23" s="167">
        <f>(P5/5000*30)*0.5</f>
        <v>4.44384</v>
      </c>
      <c r="P23" s="168">
        <f t="shared" si="8"/>
        <v>4.44384</v>
      </c>
      <c r="Q23" s="202" t="s">
        <v>66</v>
      </c>
      <c r="R23" s="203"/>
      <c r="S23" s="204"/>
      <c r="T23" s="217">
        <f t="shared" si="0"/>
        <v>-5.5969628058</v>
      </c>
      <c r="U23" s="227"/>
      <c r="V23" s="182"/>
    </row>
    <row r="24" ht="34" customHeight="1" spans="2:21">
      <c r="B24" s="153">
        <v>10</v>
      </c>
      <c r="C24" s="166" t="s">
        <v>67</v>
      </c>
      <c r="D24" s="163"/>
      <c r="E24" s="163"/>
      <c r="F24" s="163"/>
      <c r="G24" s="167">
        <v>10.0408028058</v>
      </c>
      <c r="H24" s="168">
        <v>10.0408028058</v>
      </c>
      <c r="I24" s="202" t="s">
        <v>65</v>
      </c>
      <c r="J24" s="203"/>
      <c r="K24" s="204"/>
      <c r="L24" s="163"/>
      <c r="M24" s="163"/>
      <c r="N24" s="163"/>
      <c r="O24" s="167">
        <f>P5/5000*30*0.5</f>
        <v>4.44384</v>
      </c>
      <c r="P24" s="168">
        <f t="shared" si="8"/>
        <v>4.44384</v>
      </c>
      <c r="Q24" s="202" t="s">
        <v>66</v>
      </c>
      <c r="R24" s="203"/>
      <c r="S24" s="204"/>
      <c r="T24" s="217">
        <f t="shared" si="0"/>
        <v>-5.5969628058</v>
      </c>
      <c r="U24" s="227"/>
    </row>
    <row r="25" ht="34" customHeight="1" spans="2:21">
      <c r="B25" s="153">
        <v>11</v>
      </c>
      <c r="C25" s="166" t="s">
        <v>68</v>
      </c>
      <c r="D25" s="163"/>
      <c r="E25" s="163"/>
      <c r="F25" s="163"/>
      <c r="G25" s="167">
        <v>3.3469342686</v>
      </c>
      <c r="H25" s="168">
        <v>3.3469342686</v>
      </c>
      <c r="I25" s="202" t="s">
        <v>65</v>
      </c>
      <c r="J25" s="203"/>
      <c r="K25" s="204"/>
      <c r="L25" s="163"/>
      <c r="M25" s="163"/>
      <c r="N25" s="163"/>
      <c r="O25" s="167">
        <f>P5/5000*10*0.5</f>
        <v>1.48128</v>
      </c>
      <c r="P25" s="168">
        <f t="shared" si="8"/>
        <v>1.48128</v>
      </c>
      <c r="Q25" s="202" t="s">
        <v>66</v>
      </c>
      <c r="R25" s="203"/>
      <c r="S25" s="204"/>
      <c r="T25" s="217">
        <f t="shared" si="0"/>
        <v>-1.8656542686</v>
      </c>
      <c r="U25" s="227"/>
    </row>
    <row r="26" ht="42" customHeight="1" spans="2:21">
      <c r="B26" s="153">
        <v>12</v>
      </c>
      <c r="C26" s="166" t="s">
        <v>69</v>
      </c>
      <c r="D26" s="163"/>
      <c r="E26" s="163"/>
      <c r="F26" s="163"/>
      <c r="G26" s="167">
        <v>4.37031032563125</v>
      </c>
      <c r="H26" s="168">
        <v>4.37031032563125</v>
      </c>
      <c r="I26" s="202" t="s">
        <v>70</v>
      </c>
      <c r="J26" s="203"/>
      <c r="K26" s="204"/>
      <c r="L26" s="163"/>
      <c r="M26" s="163"/>
      <c r="N26" s="163"/>
      <c r="O26" s="167">
        <f>O19*6.5%*0.8</f>
        <v>1.732669952</v>
      </c>
      <c r="P26" s="168">
        <f t="shared" si="8"/>
        <v>1.732669952</v>
      </c>
      <c r="Q26" s="202" t="s">
        <v>71</v>
      </c>
      <c r="R26" s="203"/>
      <c r="S26" s="204"/>
      <c r="T26" s="217">
        <f t="shared" si="0"/>
        <v>-2.63764037363125</v>
      </c>
      <c r="U26" s="227"/>
    </row>
    <row r="27" ht="34" customHeight="1" spans="2:21">
      <c r="B27" s="153">
        <v>13</v>
      </c>
      <c r="C27" s="166" t="s">
        <v>72</v>
      </c>
      <c r="D27" s="163"/>
      <c r="E27" s="163"/>
      <c r="F27" s="163"/>
      <c r="G27" s="167"/>
      <c r="H27" s="168">
        <v>14.53804364754</v>
      </c>
      <c r="I27" s="202"/>
      <c r="J27" s="203"/>
      <c r="K27" s="204"/>
      <c r="L27" s="163"/>
      <c r="M27" s="163"/>
      <c r="N27" s="163"/>
      <c r="O27" s="167"/>
      <c r="P27" s="168">
        <f>SUM(P28:P29)</f>
        <v>10.5631872</v>
      </c>
      <c r="Q27" s="202"/>
      <c r="R27" s="203"/>
      <c r="S27" s="204"/>
      <c r="T27" s="217">
        <f t="shared" si="0"/>
        <v>-3.97485644754</v>
      </c>
      <c r="U27" s="227"/>
    </row>
    <row r="28" ht="44" customHeight="1" spans="2:23">
      <c r="B28" s="169">
        <v>-1</v>
      </c>
      <c r="C28" s="166" t="s">
        <v>73</v>
      </c>
      <c r="D28" s="163"/>
      <c r="E28" s="163"/>
      <c r="F28" s="163"/>
      <c r="G28" s="167">
        <v>7.4138685372</v>
      </c>
      <c r="H28" s="168">
        <v>7.4138685372</v>
      </c>
      <c r="I28" s="202" t="s">
        <v>74</v>
      </c>
      <c r="J28" s="203"/>
      <c r="K28" s="204"/>
      <c r="L28" s="163"/>
      <c r="M28" s="163"/>
      <c r="N28" s="163"/>
      <c r="O28" s="167">
        <f>(500*0.5%+500*0.46%+(P5-1000)*0.4%)*0.8</f>
        <v>5.380096</v>
      </c>
      <c r="P28" s="168">
        <f t="shared" ref="P28:P35" si="9">SUM(L28:O28)</f>
        <v>5.380096</v>
      </c>
      <c r="Q28" s="202" t="s">
        <v>75</v>
      </c>
      <c r="R28" s="203"/>
      <c r="S28" s="204"/>
      <c r="T28" s="217">
        <f t="shared" si="0"/>
        <v>-2.0337725372</v>
      </c>
      <c r="U28" s="227"/>
      <c r="V28" s="230">
        <v>0.08</v>
      </c>
      <c r="W28" s="139" t="s">
        <v>76</v>
      </c>
    </row>
    <row r="29" ht="41" customHeight="1" spans="2:22">
      <c r="B29" s="169">
        <v>-2</v>
      </c>
      <c r="C29" s="166" t="s">
        <v>77</v>
      </c>
      <c r="D29" s="163"/>
      <c r="E29" s="163"/>
      <c r="F29" s="163"/>
      <c r="G29" s="167">
        <v>7.12417511034</v>
      </c>
      <c r="H29" s="168">
        <v>7.12417511034</v>
      </c>
      <c r="I29" s="202" t="s">
        <v>74</v>
      </c>
      <c r="J29" s="203"/>
      <c r="K29" s="204"/>
      <c r="L29" s="163"/>
      <c r="M29" s="163"/>
      <c r="N29" s="163"/>
      <c r="O29" s="167">
        <f>(500*0.49%+500*0.44%+(P5-1000)*0.38%)*0.8</f>
        <v>5.1830912</v>
      </c>
      <c r="P29" s="168">
        <f t="shared" si="9"/>
        <v>5.1830912</v>
      </c>
      <c r="Q29" s="202" t="s">
        <v>75</v>
      </c>
      <c r="R29" s="203"/>
      <c r="S29" s="204"/>
      <c r="T29" s="217">
        <f t="shared" si="0"/>
        <v>-1.94108391034</v>
      </c>
      <c r="U29" s="227"/>
      <c r="V29" s="231"/>
    </row>
    <row r="30" ht="34" customHeight="1" spans="2:22">
      <c r="B30" s="153">
        <v>14</v>
      </c>
      <c r="C30" s="166" t="s">
        <v>78</v>
      </c>
      <c r="D30" s="163"/>
      <c r="E30" s="163"/>
      <c r="F30" s="163"/>
      <c r="G30" s="167">
        <v>25.38</v>
      </c>
      <c r="H30" s="168">
        <v>25.38</v>
      </c>
      <c r="I30" s="202" t="s">
        <v>79</v>
      </c>
      <c r="J30" s="203"/>
      <c r="K30" s="204"/>
      <c r="L30" s="163"/>
      <c r="M30" s="163"/>
      <c r="N30" s="163"/>
      <c r="O30" s="167">
        <f>(R7+R8)*1.5/10000</f>
        <v>2.98413</v>
      </c>
      <c r="P30" s="168">
        <f t="shared" si="9"/>
        <v>2.98413</v>
      </c>
      <c r="Q30" s="202" t="s">
        <v>80</v>
      </c>
      <c r="R30" s="203"/>
      <c r="S30" s="204"/>
      <c r="T30" s="217">
        <f t="shared" si="0"/>
        <v>-22.39587</v>
      </c>
      <c r="U30" s="227"/>
      <c r="V30" s="232" t="s">
        <v>81</v>
      </c>
    </row>
    <row r="31" ht="28" customHeight="1" spans="2:22">
      <c r="B31" s="153">
        <v>15</v>
      </c>
      <c r="C31" s="166" t="s">
        <v>82</v>
      </c>
      <c r="D31" s="163"/>
      <c r="E31" s="163"/>
      <c r="F31" s="163"/>
      <c r="G31" s="167">
        <v>20</v>
      </c>
      <c r="H31" s="168">
        <v>20</v>
      </c>
      <c r="I31" s="202" t="s">
        <v>83</v>
      </c>
      <c r="J31" s="203"/>
      <c r="K31" s="204"/>
      <c r="L31" s="163"/>
      <c r="M31" s="163"/>
      <c r="N31" s="163"/>
      <c r="O31" s="167">
        <v>0</v>
      </c>
      <c r="P31" s="168">
        <f t="shared" si="9"/>
        <v>0</v>
      </c>
      <c r="Q31" s="202" t="s">
        <v>58</v>
      </c>
      <c r="R31" s="203"/>
      <c r="S31" s="204"/>
      <c r="T31" s="217">
        <f t="shared" si="0"/>
        <v>-20</v>
      </c>
      <c r="U31" s="227"/>
      <c r="V31" s="139">
        <f>2530+191+1438+300+2530+4953+1438+(1767.3+6321.8+584.1+485.5+17.8+97.2)</f>
        <v>22653.7</v>
      </c>
    </row>
    <row r="32" ht="34" customHeight="1" spans="2:21">
      <c r="B32" s="153">
        <v>16</v>
      </c>
      <c r="C32" s="166" t="s">
        <v>84</v>
      </c>
      <c r="D32" s="163"/>
      <c r="E32" s="163"/>
      <c r="F32" s="163"/>
      <c r="G32" s="167">
        <v>16.04</v>
      </c>
      <c r="H32" s="168">
        <v>16.04</v>
      </c>
      <c r="I32" s="202" t="s">
        <v>60</v>
      </c>
      <c r="J32" s="203"/>
      <c r="K32" s="204"/>
      <c r="L32" s="163"/>
      <c r="M32" s="163"/>
      <c r="N32" s="163"/>
      <c r="O32" s="167">
        <f>(20+(P46/5000*5))*0.5</f>
        <v>10.8786</v>
      </c>
      <c r="P32" s="168">
        <f t="shared" si="9"/>
        <v>10.8786</v>
      </c>
      <c r="Q32" s="202" t="s">
        <v>85</v>
      </c>
      <c r="R32" s="203"/>
      <c r="S32" s="204"/>
      <c r="T32" s="217">
        <f t="shared" si="0"/>
        <v>-5.1614</v>
      </c>
      <c r="U32" s="227"/>
    </row>
    <row r="33" ht="34" customHeight="1" spans="2:21">
      <c r="B33" s="153">
        <v>17</v>
      </c>
      <c r="C33" s="166" t="s">
        <v>86</v>
      </c>
      <c r="D33" s="163"/>
      <c r="E33" s="163"/>
      <c r="F33" s="163"/>
      <c r="G33" s="167">
        <v>20</v>
      </c>
      <c r="H33" s="168">
        <v>20</v>
      </c>
      <c r="I33" s="202" t="s">
        <v>83</v>
      </c>
      <c r="J33" s="203"/>
      <c r="K33" s="204"/>
      <c r="L33" s="163"/>
      <c r="M33" s="163"/>
      <c r="N33" s="163"/>
      <c r="O33" s="167">
        <f>P5*0.7%</f>
        <v>10.36896</v>
      </c>
      <c r="P33" s="168">
        <f t="shared" si="9"/>
        <v>10.36896</v>
      </c>
      <c r="Q33" s="202" t="s">
        <v>87</v>
      </c>
      <c r="R33" s="203"/>
      <c r="S33" s="204"/>
      <c r="T33" s="217">
        <f t="shared" si="0"/>
        <v>-9.63104</v>
      </c>
      <c r="U33" s="227"/>
    </row>
    <row r="34" ht="40" customHeight="1" spans="2:21">
      <c r="B34" s="153">
        <v>18</v>
      </c>
      <c r="C34" s="166" t="s">
        <v>88</v>
      </c>
      <c r="D34" s="163"/>
      <c r="E34" s="163"/>
      <c r="F34" s="163"/>
      <c r="G34" s="167">
        <v>0</v>
      </c>
      <c r="H34" s="168">
        <v>0</v>
      </c>
      <c r="I34" s="202"/>
      <c r="J34" s="203"/>
      <c r="K34" s="204"/>
      <c r="L34" s="163"/>
      <c r="M34" s="163"/>
      <c r="N34" s="163"/>
      <c r="O34" s="167">
        <v>19.89</v>
      </c>
      <c r="P34" s="168">
        <f t="shared" si="9"/>
        <v>19.89</v>
      </c>
      <c r="Q34" s="202" t="s">
        <v>89</v>
      </c>
      <c r="R34" s="203"/>
      <c r="S34" s="204"/>
      <c r="T34" s="217">
        <f t="shared" si="0"/>
        <v>19.89</v>
      </c>
      <c r="U34" s="227"/>
    </row>
    <row r="35" ht="34" customHeight="1" spans="2:21">
      <c r="B35" s="153">
        <v>19</v>
      </c>
      <c r="C35" s="166" t="s">
        <v>90</v>
      </c>
      <c r="D35" s="163"/>
      <c r="E35" s="163"/>
      <c r="F35" s="163"/>
      <c r="G35" s="167">
        <v>10</v>
      </c>
      <c r="H35" s="168">
        <v>10</v>
      </c>
      <c r="I35" s="202" t="s">
        <v>83</v>
      </c>
      <c r="J35" s="203"/>
      <c r="K35" s="204"/>
      <c r="L35" s="163"/>
      <c r="M35" s="163"/>
      <c r="N35" s="163"/>
      <c r="O35" s="167">
        <v>0</v>
      </c>
      <c r="P35" s="168">
        <f t="shared" si="9"/>
        <v>0</v>
      </c>
      <c r="Q35" s="202" t="s">
        <v>58</v>
      </c>
      <c r="R35" s="203"/>
      <c r="S35" s="204"/>
      <c r="T35" s="217">
        <f t="shared" si="0"/>
        <v>-10</v>
      </c>
      <c r="U35" s="227"/>
    </row>
    <row r="36" customHeight="1" spans="2:21">
      <c r="B36" s="153"/>
      <c r="C36" s="166"/>
      <c r="D36" s="163"/>
      <c r="E36" s="163"/>
      <c r="F36" s="163"/>
      <c r="G36" s="167"/>
      <c r="H36" s="168"/>
      <c r="I36" s="205"/>
      <c r="J36" s="205"/>
      <c r="K36" s="205"/>
      <c r="L36" s="163"/>
      <c r="M36" s="163"/>
      <c r="N36" s="163"/>
      <c r="O36" s="167"/>
      <c r="P36" s="168"/>
      <c r="Q36" s="205"/>
      <c r="R36" s="205"/>
      <c r="S36" s="205"/>
      <c r="T36" s="217"/>
      <c r="U36" s="227"/>
    </row>
    <row r="37" ht="25" customHeight="1" spans="2:23">
      <c r="B37" s="163"/>
      <c r="C37" s="281" t="s">
        <v>91</v>
      </c>
      <c r="D37" s="155">
        <v>0</v>
      </c>
      <c r="E37" s="155"/>
      <c r="F37" s="155"/>
      <c r="G37" s="155">
        <v>343.465308120932</v>
      </c>
      <c r="H37" s="155">
        <v>343.465308120932</v>
      </c>
      <c r="I37" s="191"/>
      <c r="J37" s="201"/>
      <c r="K37" s="201"/>
      <c r="L37" s="155">
        <f>+L13</f>
        <v>0</v>
      </c>
      <c r="M37" s="155"/>
      <c r="N37" s="155"/>
      <c r="O37" s="155">
        <f>+O13</f>
        <v>192.24</v>
      </c>
      <c r="P37" s="155">
        <f t="shared" ref="P37:P40" si="10">SUM(L37:O37)</f>
        <v>192.24</v>
      </c>
      <c r="Q37" s="191"/>
      <c r="R37" s="201"/>
      <c r="S37" s="201"/>
      <c r="T37" s="217">
        <f>P37-H37</f>
        <v>-151.225308120932</v>
      </c>
      <c r="U37" s="226"/>
      <c r="V37" s="139"/>
      <c r="W37" s="233" t="e">
        <f>+(H44-V37)/V37</f>
        <v>#DIV/0!</v>
      </c>
    </row>
    <row r="38" ht="25" customHeight="1" spans="2:22">
      <c r="B38" s="153"/>
      <c r="C38" s="283" t="s">
        <v>92</v>
      </c>
      <c r="D38" s="170">
        <v>1203.803751</v>
      </c>
      <c r="E38" s="170">
        <v>655.604176</v>
      </c>
      <c r="F38" s="170">
        <v>0</v>
      </c>
      <c r="G38" s="170">
        <v>343.465308120932</v>
      </c>
      <c r="H38" s="155">
        <v>2202.87323512093</v>
      </c>
      <c r="I38" s="205"/>
      <c r="J38" s="196"/>
      <c r="K38" s="196"/>
      <c r="L38" s="170">
        <f t="shared" ref="L38:O38" si="11">+L12+L37</f>
        <v>906.67</v>
      </c>
      <c r="M38" s="170">
        <f t="shared" si="11"/>
        <v>574.61</v>
      </c>
      <c r="N38" s="170">
        <f t="shared" si="11"/>
        <v>0</v>
      </c>
      <c r="O38" s="170">
        <f t="shared" si="11"/>
        <v>192.24</v>
      </c>
      <c r="P38" s="155">
        <f t="shared" si="10"/>
        <v>1673.52</v>
      </c>
      <c r="Q38" s="205"/>
      <c r="R38" s="196"/>
      <c r="S38" s="196"/>
      <c r="T38" s="217">
        <f>P38-H38</f>
        <v>-529.35323512093</v>
      </c>
      <c r="U38" s="227"/>
      <c r="V38" s="184"/>
    </row>
    <row r="39" ht="25" customHeight="1" spans="2:24">
      <c r="B39" s="153"/>
      <c r="C39" s="164" t="s">
        <v>93</v>
      </c>
      <c r="D39" s="163"/>
      <c r="E39" s="163"/>
      <c r="F39" s="163"/>
      <c r="G39" s="170">
        <v>176.229858809763</v>
      </c>
      <c r="H39" s="155">
        <v>176.229858809763</v>
      </c>
      <c r="I39" s="205"/>
      <c r="J39" s="205"/>
      <c r="K39" s="205"/>
      <c r="L39" s="163"/>
      <c r="M39" s="163"/>
      <c r="N39" s="163"/>
      <c r="O39" s="170">
        <f>SUM(O40:O41)</f>
        <v>83.68</v>
      </c>
      <c r="P39" s="155">
        <f t="shared" si="10"/>
        <v>83.68</v>
      </c>
      <c r="Q39" s="205"/>
      <c r="R39" s="205"/>
      <c r="S39" s="205"/>
      <c r="T39" s="217">
        <f>P39-H39</f>
        <v>-92.549858809763</v>
      </c>
      <c r="U39" s="227"/>
      <c r="V39" s="138"/>
      <c r="W39" s="138"/>
      <c r="X39" s="138"/>
    </row>
    <row r="40" ht="25" customHeight="1" spans="2:24">
      <c r="B40" s="153"/>
      <c r="C40" s="166" t="s">
        <v>94</v>
      </c>
      <c r="D40" s="163"/>
      <c r="E40" s="163"/>
      <c r="F40" s="163"/>
      <c r="G40" s="171">
        <v>176.229858809675</v>
      </c>
      <c r="H40" s="167">
        <v>176.229858809675</v>
      </c>
      <c r="I40" s="205"/>
      <c r="J40" s="205"/>
      <c r="K40" s="205"/>
      <c r="L40" s="163"/>
      <c r="M40" s="163"/>
      <c r="N40" s="163"/>
      <c r="O40" s="171">
        <f>ROUND((P5+P13)*5%,2)</f>
        <v>83.68</v>
      </c>
      <c r="P40" s="167">
        <f t="shared" si="10"/>
        <v>83.68</v>
      </c>
      <c r="Q40" s="205"/>
      <c r="R40" s="205"/>
      <c r="S40" s="205"/>
      <c r="T40" s="217">
        <f>P40-H40</f>
        <v>-92.549858809675</v>
      </c>
      <c r="U40" s="227"/>
      <c r="V40" s="138"/>
      <c r="W40" s="138"/>
      <c r="X40" s="138" t="e">
        <f>28*#REF!</f>
        <v>#REF!</v>
      </c>
    </row>
    <row r="41" ht="25" customHeight="1" spans="2:21">
      <c r="B41" s="153"/>
      <c r="C41" s="166"/>
      <c r="D41" s="163"/>
      <c r="E41" s="163"/>
      <c r="F41" s="163"/>
      <c r="G41" s="171"/>
      <c r="H41" s="167"/>
      <c r="I41" s="205"/>
      <c r="J41" s="205"/>
      <c r="K41" s="205"/>
      <c r="L41" s="163"/>
      <c r="M41" s="163"/>
      <c r="N41" s="163"/>
      <c r="O41" s="171"/>
      <c r="P41" s="167"/>
      <c r="Q41" s="205"/>
      <c r="R41" s="205"/>
      <c r="S41" s="205"/>
      <c r="T41" s="217"/>
      <c r="U41" s="227"/>
    </row>
    <row r="42" ht="25" customHeight="1" spans="2:21">
      <c r="B42" s="153"/>
      <c r="C42" s="283" t="s">
        <v>95</v>
      </c>
      <c r="D42" s="170">
        <v>1203.803751</v>
      </c>
      <c r="E42" s="170">
        <v>655.604176</v>
      </c>
      <c r="F42" s="170">
        <v>0</v>
      </c>
      <c r="G42" s="170">
        <v>519.695166930695</v>
      </c>
      <c r="H42" s="155">
        <v>2379.10309393069</v>
      </c>
      <c r="I42" s="205"/>
      <c r="J42" s="196"/>
      <c r="K42" s="196"/>
      <c r="L42" s="170">
        <f t="shared" ref="L42:O42" si="12">L38+L39</f>
        <v>906.67</v>
      </c>
      <c r="M42" s="170">
        <f t="shared" si="12"/>
        <v>574.61</v>
      </c>
      <c r="N42" s="170">
        <f t="shared" si="12"/>
        <v>0</v>
      </c>
      <c r="O42" s="170">
        <f t="shared" si="12"/>
        <v>275.92</v>
      </c>
      <c r="P42" s="155">
        <f>SUM(L42:O42)</f>
        <v>1757.2</v>
      </c>
      <c r="Q42" s="205"/>
      <c r="R42" s="196"/>
      <c r="S42" s="196"/>
      <c r="T42" s="217">
        <f>P42-H42</f>
        <v>-621.90309393069</v>
      </c>
      <c r="U42" s="227"/>
    </row>
    <row r="43" ht="25" customHeight="1" spans="2:21">
      <c r="B43" s="153"/>
      <c r="C43" s="164"/>
      <c r="D43" s="148"/>
      <c r="E43" s="148"/>
      <c r="F43" s="148"/>
      <c r="G43" s="148"/>
      <c r="H43" s="172"/>
      <c r="I43" s="205"/>
      <c r="J43" s="196"/>
      <c r="K43" s="196"/>
      <c r="L43" s="148"/>
      <c r="M43" s="148"/>
      <c r="N43" s="148"/>
      <c r="O43" s="148"/>
      <c r="P43" s="172"/>
      <c r="Q43" s="205"/>
      <c r="R43" s="196"/>
      <c r="S43" s="196"/>
      <c r="T43" s="217"/>
      <c r="U43" s="227"/>
    </row>
    <row r="44" ht="25" customHeight="1" spans="2:21">
      <c r="B44" s="150"/>
      <c r="C44" s="164" t="s">
        <v>96</v>
      </c>
      <c r="D44" s="170">
        <v>1203.803751</v>
      </c>
      <c r="E44" s="170">
        <v>655.604176</v>
      </c>
      <c r="F44" s="170">
        <v>0</v>
      </c>
      <c r="G44" s="170">
        <v>519.695166930695</v>
      </c>
      <c r="H44" s="155">
        <v>2379.10309393069</v>
      </c>
      <c r="I44" s="205"/>
      <c r="J44" s="196"/>
      <c r="K44" s="196"/>
      <c r="L44" s="170">
        <f t="shared" ref="L44:O44" si="13">+L42</f>
        <v>906.67</v>
      </c>
      <c r="M44" s="170">
        <f t="shared" si="13"/>
        <v>574.61</v>
      </c>
      <c r="N44" s="170">
        <f t="shared" si="13"/>
        <v>0</v>
      </c>
      <c r="O44" s="170">
        <f t="shared" si="13"/>
        <v>275.92</v>
      </c>
      <c r="P44" s="155">
        <f>L44+O44+M44+N44</f>
        <v>1757.2</v>
      </c>
      <c r="Q44" s="205"/>
      <c r="R44" s="196"/>
      <c r="S44" s="196"/>
      <c r="T44" s="217">
        <f>P44-H44</f>
        <v>-621.90309393069</v>
      </c>
      <c r="U44" s="227"/>
    </row>
    <row r="45" s="138" customFormat="1" customHeight="1" spans="2:22">
      <c r="B45" s="153"/>
      <c r="C45" s="166"/>
      <c r="D45" s="163"/>
      <c r="E45" s="163"/>
      <c r="F45" s="163"/>
      <c r="G45" s="163"/>
      <c r="H45" s="167"/>
      <c r="I45" s="205"/>
      <c r="J45" s="205"/>
      <c r="K45" s="205"/>
      <c r="L45" s="163"/>
      <c r="M45" s="163"/>
      <c r="N45" s="163"/>
      <c r="O45" s="163"/>
      <c r="P45" s="167"/>
      <c r="Q45" s="205"/>
      <c r="R45" s="205"/>
      <c r="S45" s="205"/>
      <c r="T45" s="217"/>
      <c r="U45" s="227"/>
      <c r="V45" s="139"/>
    </row>
    <row r="46" hidden="1" customHeight="1" spans="2:27">
      <c r="B46" s="173"/>
      <c r="C46" s="174"/>
      <c r="D46" s="173"/>
      <c r="E46" s="173"/>
      <c r="F46" s="173"/>
      <c r="G46" s="175"/>
      <c r="H46" s="176"/>
      <c r="I46" s="206"/>
      <c r="J46" s="206"/>
      <c r="K46" s="207"/>
      <c r="L46" s="173"/>
      <c r="M46" s="173"/>
      <c r="N46" s="173"/>
      <c r="O46" s="175"/>
      <c r="P46" s="176">
        <v>1757.2</v>
      </c>
      <c r="Q46" s="206"/>
      <c r="R46" s="206"/>
      <c r="S46" s="207"/>
      <c r="T46" s="206"/>
      <c r="U46" s="234">
        <f>T44/H44*100</f>
        <v>-26.1402330784749</v>
      </c>
      <c r="W46" s="235" t="s">
        <v>2</v>
      </c>
      <c r="X46" s="236" t="s">
        <v>97</v>
      </c>
      <c r="Y46" s="236" t="s">
        <v>98</v>
      </c>
      <c r="Z46" s="236" t="s">
        <v>99</v>
      </c>
      <c r="AA46" s="236" t="s">
        <v>9</v>
      </c>
    </row>
    <row r="47" hidden="1" customHeight="1" spans="2:27">
      <c r="B47" s="173"/>
      <c r="C47" s="177" t="s">
        <v>100</v>
      </c>
      <c r="D47" s="178"/>
      <c r="E47" s="179" t="s">
        <v>101</v>
      </c>
      <c r="F47" s="179" t="s">
        <v>102</v>
      </c>
      <c r="G47" s="180"/>
      <c r="H47" s="178" t="s">
        <v>103</v>
      </c>
      <c r="I47" s="208" t="s">
        <v>104</v>
      </c>
      <c r="J47" s="208" t="s">
        <v>105</v>
      </c>
      <c r="K47" s="207"/>
      <c r="L47" s="178"/>
      <c r="M47" s="179" t="s">
        <v>101</v>
      </c>
      <c r="N47" s="179" t="s">
        <v>102</v>
      </c>
      <c r="O47" s="180"/>
      <c r="P47" s="178" t="s">
        <v>103</v>
      </c>
      <c r="Q47" s="208" t="s">
        <v>104</v>
      </c>
      <c r="R47" s="208" t="s">
        <v>105</v>
      </c>
      <c r="S47" s="207"/>
      <c r="T47" s="206"/>
      <c r="U47" s="234"/>
      <c r="V47" s="139">
        <f>T44/H44*100</f>
        <v>-26.1402330784749</v>
      </c>
      <c r="W47" s="237">
        <v>1</v>
      </c>
      <c r="X47" s="238" t="s">
        <v>106</v>
      </c>
      <c r="Y47" s="241">
        <f>H12</f>
        <v>1859.403751</v>
      </c>
      <c r="Z47" s="242">
        <f>Y47/$Y$50</f>
        <v>0.781556610868822</v>
      </c>
      <c r="AA47" s="238"/>
    </row>
    <row r="48" hidden="1" customHeight="1" spans="3:27">
      <c r="C48" s="181" t="s">
        <v>107</v>
      </c>
      <c r="G48" s="182">
        <f>IF(H48&lt;=1000,H48*1.5%,IF(H48&lt;=5000,15+(H48-1000)*1.2%,IF(H48&lt;=10000,63+(H48-5000)*1%,IF(H48&lt;=50000,113+(H48-10000)*0.8%,IF(H48&lt;=100000,433+(H48-50000)*0.5%,IF(H48&lt;=200000,683+(H48-100000)*0.2%,883+(H48-200000)*0.1%))))))</f>
        <v>31.5492371271683</v>
      </c>
      <c r="H48" s="136">
        <f>+H44</f>
        <v>2379.10309393069</v>
      </c>
      <c r="I48" s="209">
        <f>+G48/H48</f>
        <v>0.013260979403395</v>
      </c>
      <c r="J48" s="210" t="s">
        <v>108</v>
      </c>
      <c r="O48" s="182">
        <f>IF(P48&lt;=1000,P48*1.5%,IF(P48&lt;=5000,15+(P48-1000)*1.2%,IF(P48&lt;=10000,63+(P48-5000)*1%,IF(P48&lt;=50000,113+(P48-10000)*0.8%,IF(P48&lt;=100000,433+(P48-50000)*0.5%,IF(P48&lt;=200000,683+(P48-100000)*0.2%,883+(P48-200000)*0.1%))))))</f>
        <v>24.0864</v>
      </c>
      <c r="P48" s="136">
        <f>+P44</f>
        <v>1757.2</v>
      </c>
      <c r="Q48" s="209">
        <f t="shared" ref="Q48:Q52" si="14">+O48/P48</f>
        <v>0.0137072615524698</v>
      </c>
      <c r="R48" s="210" t="s">
        <v>108</v>
      </c>
      <c r="W48" s="237">
        <v>2</v>
      </c>
      <c r="X48" s="238" t="s">
        <v>109</v>
      </c>
      <c r="Y48" s="241" t="e">
        <f>#REF!</f>
        <v>#REF!</v>
      </c>
      <c r="Z48" s="242" t="e">
        <f>Y48/$Y$50</f>
        <v>#REF!</v>
      </c>
      <c r="AA48" s="238"/>
    </row>
    <row r="49" hidden="1" customHeight="1" spans="3:27">
      <c r="C49" s="181" t="s">
        <v>110</v>
      </c>
      <c r="G49" s="182">
        <f>IF(H49&lt;=1000,H49*2%,IF(H49&lt;=5000,20+(H49-1000)*1.5%,IF(H49&lt;=10000,80+(H49-5000)*1.2%,IF(H49&lt;=50000,140+(H49-10000)*1%,IF(H49&lt;=100000,540+(H49-50000)*0.8%,940+(H49-100000)*0.4%)))))</f>
        <v>40.6865464089604</v>
      </c>
      <c r="H49" s="136">
        <f>+H44</f>
        <v>2379.10309393069</v>
      </c>
      <c r="I49" s="209">
        <f>+G49/H49</f>
        <v>0.0171016323389917</v>
      </c>
      <c r="J49" s="210" t="s">
        <v>111</v>
      </c>
      <c r="O49" s="182">
        <f>IF(P49&lt;=1000,P49*2%,IF(P49&lt;=5000,20+(P49-1000)*1.5%,IF(P49&lt;=10000,80+(P49-5000)*1.2%,IF(P49&lt;=50000,140+(P49-10000)*1%,IF(P49&lt;=100000,540+(P49-50000)*0.8%,940+(P49-100000)*0.4%)))))</f>
        <v>31.358</v>
      </c>
      <c r="P49" s="136">
        <f>+P44</f>
        <v>1757.2</v>
      </c>
      <c r="Q49" s="209">
        <f t="shared" si="14"/>
        <v>0.0178454359207831</v>
      </c>
      <c r="R49" s="210" t="s">
        <v>111</v>
      </c>
      <c r="W49" s="237">
        <v>3</v>
      </c>
      <c r="X49" s="238" t="s">
        <v>112</v>
      </c>
      <c r="Y49" s="241">
        <f>H40</f>
        <v>176.229858809675</v>
      </c>
      <c r="Z49" s="242">
        <f>Y49/$Y$50</f>
        <v>0.0740740740740717</v>
      </c>
      <c r="AA49" s="238"/>
    </row>
    <row r="50" hidden="1" customHeight="1" spans="3:27">
      <c r="C50" s="181" t="s">
        <v>113</v>
      </c>
      <c r="G50" s="182">
        <f>IF(H50&lt;=5000,H50*3%,IF(H50&lt;=10000,150+(H50-5000)*2.5%,IF(H50&lt;=20000,275+(H50-10000)*2%,IF(H50&lt;=50000,475+(H50-20000)*1.5%,925+(H50-50000)*0.5%))))*1.1*1.2</f>
        <v>73.6323885396</v>
      </c>
      <c r="H50" s="136">
        <f>+H12</f>
        <v>1859.403751</v>
      </c>
      <c r="I50" s="209">
        <f>+G50/H50</f>
        <v>0.0396</v>
      </c>
      <c r="J50" s="210" t="s">
        <v>114</v>
      </c>
      <c r="O50" s="182">
        <f>IF(P50&lt;=5000,P50*3%,IF(P50&lt;=10000,150+(P50-5000)*2.5%,IF(P50&lt;=20000,275+(P50-10000)*2%,IF(P50&lt;=50000,475+(P50-20000)*1.5%,925+(P50-50000)*0.5%))))*1.1*1.2</f>
        <v>58.658688</v>
      </c>
      <c r="P50" s="136">
        <f>+P12</f>
        <v>1481.28</v>
      </c>
      <c r="Q50" s="209">
        <f t="shared" si="14"/>
        <v>0.0396</v>
      </c>
      <c r="R50" s="210" t="s">
        <v>114</v>
      </c>
      <c r="W50" s="237">
        <v>4</v>
      </c>
      <c r="X50" s="238" t="s">
        <v>115</v>
      </c>
      <c r="Y50" s="241">
        <f>H44</f>
        <v>2379.10309393069</v>
      </c>
      <c r="Z50" s="242">
        <f>Y50/$Y$50</f>
        <v>1</v>
      </c>
      <c r="AA50" s="238"/>
    </row>
    <row r="51" hidden="1" customHeight="1" spans="3:18">
      <c r="C51" s="181" t="s">
        <v>113</v>
      </c>
      <c r="G51" s="182">
        <f>IF(H51&lt;=1000,H51*3%,IF(H51&lt;=5000,30+(H51-1000)*2.5%,IF(H51&lt;=10000,130+(H51-5000)*2%,IF(H51&lt;=50000,230+(H51-10000)*1.6%,IF(H51&lt;=100000,870+(H51-50000)*1.2%,IF(H51&lt;=200000,1470+(H51-100000)*1%,2470))))))</f>
        <v>51.485093775</v>
      </c>
      <c r="H51" s="136">
        <f>+H12</f>
        <v>1859.403751</v>
      </c>
      <c r="I51" s="209">
        <f>+G51/H51</f>
        <v>0.0276890340504643</v>
      </c>
      <c r="J51" s="210" t="s">
        <v>116</v>
      </c>
      <c r="O51" s="182">
        <f>IF(P51&lt;=1000,P51*3%,IF(P51&lt;=5000,30+(P51-1000)*2.5%,IF(P51&lt;=10000,130+(P51-5000)*2%,IF(P51&lt;=50000,230+(P51-10000)*1.6%,IF(P51&lt;=100000,870+(P51-50000)*1.2%,IF(P51&lt;=200000,1470+(P51-100000)*1%,2470))))))</f>
        <v>42.032</v>
      </c>
      <c r="P51" s="136">
        <f>+P12</f>
        <v>1481.28</v>
      </c>
      <c r="Q51" s="209">
        <f t="shared" si="14"/>
        <v>0.0283754590624325</v>
      </c>
      <c r="R51" s="210" t="s">
        <v>116</v>
      </c>
    </row>
    <row r="52" hidden="1" customHeight="1" spans="3:17">
      <c r="C52" s="183" t="s">
        <v>117</v>
      </c>
      <c r="D52" s="184"/>
      <c r="E52" s="184"/>
      <c r="F52" s="184"/>
      <c r="G52" s="182">
        <f>SUM(G53:G56)*H53*I53+G57</f>
        <v>19.2707350608386</v>
      </c>
      <c r="H52" s="136">
        <f>+H44</f>
        <v>2379.10309393069</v>
      </c>
      <c r="I52" s="209">
        <f>+G52/H52</f>
        <v>0.0081</v>
      </c>
      <c r="L52" s="184"/>
      <c r="M52" s="184"/>
      <c r="N52" s="184"/>
      <c r="O52" s="182">
        <f>SUM(O53:O56)*P53*Q53+O57</f>
        <v>14.23332</v>
      </c>
      <c r="P52" s="136">
        <f>+P44</f>
        <v>1757.2</v>
      </c>
      <c r="Q52" s="209">
        <f t="shared" si="14"/>
        <v>0.0081</v>
      </c>
    </row>
    <row r="53" hidden="1" customHeight="1" spans="3:18">
      <c r="C53" s="183" t="s">
        <v>118</v>
      </c>
      <c r="D53" s="184"/>
      <c r="E53" s="184"/>
      <c r="F53" s="184"/>
      <c r="G53" s="182">
        <f>IF(H52&lt;=3000,6/3000*H52,IF(H52&lt;=10000,6+(14-6)/7000*(H52-3000),IF(H52&lt;=50000,14+(37-14)/40000*(H52-10000),IF(H52&lt;=100000,37+(55-37)/50000*(H52-50000),IF(H52&lt;=500000,55+(100-55)/400000*(H52-100000),125)))))</f>
        <v>4.75820618786138</v>
      </c>
      <c r="H53" s="136">
        <v>0.9</v>
      </c>
      <c r="I53" s="211">
        <v>1</v>
      </c>
      <c r="J53" s="141">
        <f>+G53*$H$144*$I$144</f>
        <v>0</v>
      </c>
      <c r="L53" s="184"/>
      <c r="M53" s="184"/>
      <c r="N53" s="184"/>
      <c r="O53" s="182">
        <f>IF(P52&lt;=3000,6/3000*P52,IF(P52&lt;=10000,6+(14-6)/7000*(P52-3000),IF(P52&lt;=50000,14+(37-14)/40000*(P52-10000),IF(P52&lt;=100000,37+(55-37)/50000*(P52-50000),IF(P52&lt;=500000,55+(100-55)/400000*(P52-100000),125)))))</f>
        <v>3.5144</v>
      </c>
      <c r="P53" s="136">
        <v>0.9</v>
      </c>
      <c r="Q53" s="211">
        <v>1</v>
      </c>
      <c r="R53" s="141">
        <f t="shared" ref="R53:R56" si="15">+O53*$H$144*$I$144</f>
        <v>0</v>
      </c>
    </row>
    <row r="54" hidden="1" customHeight="1" spans="3:18">
      <c r="C54" s="183" t="s">
        <v>119</v>
      </c>
      <c r="D54" s="184"/>
      <c r="E54" s="184"/>
      <c r="F54" s="184"/>
      <c r="G54" s="182">
        <f>IF(H52&lt;=3000,12/3000*H52,IF(H52&lt;=10000,12+(28-12)/7000*(H52-3000),IF(H52&lt;=50000,28+(75-28)/40000*(H52-10000),IF(H52&lt;=100000,75+(110-75)/50000*(H52-50000),IF(H52&lt;=500000,110+(200-110)/400000*(H52-100000),250)))))</f>
        <v>9.51641237572276</v>
      </c>
      <c r="I54" s="209"/>
      <c r="J54" s="141">
        <f>+G54*$H$144*$I$144</f>
        <v>0</v>
      </c>
      <c r="L54" s="184"/>
      <c r="M54" s="184"/>
      <c r="N54" s="184"/>
      <c r="O54" s="182">
        <f>IF(P52&lt;=3000,12/3000*P52,IF(P52&lt;=10000,12+(28-12)/7000*(P52-3000),IF(P52&lt;=50000,28+(75-28)/40000*(P52-10000),IF(P52&lt;=100000,75+(110-75)/50000*(P52-50000),IF(P52&lt;=500000,110+(200-110)/400000*(P52-100000),250)))))</f>
        <v>7.0288</v>
      </c>
      <c r="Q54" s="209"/>
      <c r="R54" s="141">
        <f t="shared" si="15"/>
        <v>0</v>
      </c>
    </row>
    <row r="55" hidden="1" customHeight="1" spans="3:18">
      <c r="C55" s="183" t="s">
        <v>120</v>
      </c>
      <c r="D55" s="184"/>
      <c r="E55" s="184"/>
      <c r="F55" s="184"/>
      <c r="G55" s="182">
        <f>IF(H52&lt;=3000,4/3000*H52,IF(H52&lt;=10000,4+(8-4)/7000*(H52-3000),IF(H52&lt;=50000,8+(12-8)/40000*(H52-10000),IF(H52&lt;=100000,12+(15-12)/50000*(H52-50000),IF(H52&lt;=500000,15+(17-15)/400000*(H52-100000),20)))))</f>
        <v>3.17213745857425</v>
      </c>
      <c r="H55" s="136"/>
      <c r="J55" s="141">
        <f>+G55*$H$144*$I$144</f>
        <v>0</v>
      </c>
      <c r="L55" s="184"/>
      <c r="M55" s="184"/>
      <c r="N55" s="184"/>
      <c r="O55" s="182">
        <f>IF(P52&lt;=3000,4/3000*P52,IF(P52&lt;=10000,4+(8-4)/7000*(P52-3000),IF(P52&lt;=50000,8+(12-8)/40000*(P52-10000),IF(P52&lt;=100000,12+(15-12)/50000*(P52-50000),IF(P52&lt;=500000,15+(17-15)/400000*(P52-100000),20)))))</f>
        <v>2.34293333333333</v>
      </c>
      <c r="P55" s="136"/>
      <c r="R55" s="141">
        <f t="shared" si="15"/>
        <v>0</v>
      </c>
    </row>
    <row r="56" hidden="1" customHeight="1" spans="3:18">
      <c r="C56" s="183" t="s">
        <v>121</v>
      </c>
      <c r="D56" s="184"/>
      <c r="E56" s="184"/>
      <c r="F56" s="184"/>
      <c r="G56" s="182">
        <f>IF(H52&lt;=3000,5/3000*H52,IF(H52&lt;=10000,5+(10-5)/7000*(H52-3000),IF(H52&lt;=50000,10+(15-10)/40000*(H52-10000),IF(H52&lt;=100000,15+(20-15)/50000*(H52-50000),IF(H52&lt;=500000,20+(25-20)/400000*(H52-100000),35)))))</f>
        <v>3.96517182321782</v>
      </c>
      <c r="H56" s="136"/>
      <c r="J56" s="141">
        <f>+G56*$H$144*$I$144</f>
        <v>0</v>
      </c>
      <c r="L56" s="184"/>
      <c r="M56" s="184"/>
      <c r="N56" s="184"/>
      <c r="O56" s="182">
        <f>IF(P52&lt;=3000,5/3000*P52,IF(P52&lt;=10000,5+(10-5)/7000*(P52-3000),IF(P52&lt;=50000,10+(15-10)/40000*(P52-10000),IF(P52&lt;=100000,15+(20-15)/50000*(P52-50000),IF(P52&lt;=500000,20+(25-20)/400000*(P52-100000),35)))))</f>
        <v>2.92866666666667</v>
      </c>
      <c r="P56" s="136"/>
      <c r="R56" s="141">
        <f t="shared" si="15"/>
        <v>0</v>
      </c>
    </row>
    <row r="57" hidden="1" customHeight="1" spans="3:22">
      <c r="C57" s="183" t="s">
        <v>122</v>
      </c>
      <c r="D57" s="184"/>
      <c r="E57" s="184"/>
      <c r="F57" s="184"/>
      <c r="G57" s="182"/>
      <c r="H57" s="136"/>
      <c r="L57" s="184"/>
      <c r="M57" s="184"/>
      <c r="N57" s="184"/>
      <c r="O57" s="182"/>
      <c r="P57" s="136"/>
      <c r="V57" s="176"/>
    </row>
    <row r="58" hidden="1" customHeight="1" spans="3:22">
      <c r="C58" s="183" t="s">
        <v>123</v>
      </c>
      <c r="D58" s="184"/>
      <c r="E58" s="184"/>
      <c r="F58" s="184"/>
      <c r="G58" s="182">
        <f>SUM(G59:G62)*H59+G63</f>
        <v>4.75820618786138</v>
      </c>
      <c r="H58" s="136">
        <f>+H44</f>
        <v>2379.10309393069</v>
      </c>
      <c r="I58" s="209">
        <f>+G58/H58</f>
        <v>0.002</v>
      </c>
      <c r="J58" s="210"/>
      <c r="L58" s="184"/>
      <c r="M58" s="184"/>
      <c r="N58" s="184"/>
      <c r="O58" s="182">
        <f>SUM(O59:O62)*P59+O63</f>
        <v>3.5144</v>
      </c>
      <c r="P58" s="136">
        <f>+P44</f>
        <v>1757.2</v>
      </c>
      <c r="Q58" s="209">
        <f>+O58/P58</f>
        <v>0.002</v>
      </c>
      <c r="R58" s="210"/>
      <c r="V58" s="176"/>
    </row>
    <row r="59" hidden="1" customHeight="1" spans="3:22">
      <c r="C59" s="183" t="s">
        <v>124</v>
      </c>
      <c r="D59" s="184"/>
      <c r="E59" s="184"/>
      <c r="F59" s="184"/>
      <c r="G59" s="182">
        <f>IF(H58&lt;=3000,6/3000*H52,IF(H58&lt;=20000,6+(15-6)/17000*(H58-3000),IF(H58&lt;=100000,15+(35-15)/80000*(H58-20000),IF(H58&lt;=500000,35+(75-35)/400000*(H58-100000),IF(H58&lt;=1000000,75+(110-75)/500000*(H58-500000),110)))))</f>
        <v>4.75820618786138</v>
      </c>
      <c r="H59" s="136">
        <v>0.8</v>
      </c>
      <c r="I59" s="189"/>
      <c r="L59" s="184"/>
      <c r="M59" s="184"/>
      <c r="N59" s="184"/>
      <c r="O59" s="182">
        <f>IF(P58&lt;=3000,6/3000*P52,IF(P58&lt;=20000,6+(15-6)/17000*(P58-3000),IF(P58&lt;=100000,15+(35-15)/80000*(P58-20000),IF(P58&lt;=500000,35+(75-35)/400000*(P58-100000),IF(P58&lt;=1000000,75+(110-75)/500000*(P58-500000),110)))))</f>
        <v>3.5144</v>
      </c>
      <c r="P59" s="136">
        <v>0.8</v>
      </c>
      <c r="Q59" s="189"/>
      <c r="V59" s="176"/>
    </row>
    <row r="60" hidden="1" customHeight="1" spans="3:22">
      <c r="C60" s="183" t="s">
        <v>125</v>
      </c>
      <c r="D60" s="184"/>
      <c r="E60" s="184"/>
      <c r="F60" s="184"/>
      <c r="I60" s="211">
        <f>IF(H58&lt;=3000,1/3000*H52,IF(H58&lt;=20000,2+(4-2)/17000*(H58-3000),IF(H58&lt;=100000,4+(7-4)/80000*(H58-20000),H58/100000*7)))</f>
        <v>0.793034364643563</v>
      </c>
      <c r="L60" s="184"/>
      <c r="M60" s="184"/>
      <c r="N60" s="184"/>
      <c r="Q60" s="211">
        <f>IF(P58&lt;=3000,1/3000*P52,IF(P58&lt;=20000,2+(4-2)/17000*(P58-3000),IF(P58&lt;=100000,4+(7-4)/80000*(P58-20000),P58/100000*7)))</f>
        <v>0.585733333333333</v>
      </c>
      <c r="V60" s="176"/>
    </row>
    <row r="61" hidden="1" customHeight="1" spans="3:22">
      <c r="C61" s="183" t="s">
        <v>126</v>
      </c>
      <c r="D61" s="184"/>
      <c r="E61" s="184"/>
      <c r="F61" s="184"/>
      <c r="G61" s="182">
        <f>IF(H58&lt;=3000,1.5/3000*H52,IF(H58&lt;=20000,1.5+(3-1.5)/17000*(H58-3000),IF(H58&lt;=100000,3+(7-3)/80000*(H58-20000),IF(H58&lt;=500000,7+(9-7)/400000*(H58-100000),IF(H58&lt;=1000000,9+(13-9)/500000*(H58-500000),13*H58/100)))))</f>
        <v>1.18955154696535</v>
      </c>
      <c r="H61" s="136"/>
      <c r="L61" s="184"/>
      <c r="M61" s="184"/>
      <c r="N61" s="184"/>
      <c r="O61" s="182">
        <f>IF(P58&lt;=3000,1.5/3000*P52,IF(P58&lt;=20000,1.5+(3-1.5)/17000*(P58-3000),IF(P58&lt;=100000,3+(7-3)/80000*(P58-20000),IF(P58&lt;=500000,7+(9-7)/400000*(P58-100000),IF(P58&lt;=1000000,9+(13-9)/500000*(P58-500000),13*P58/100)))))</f>
        <v>0.8786</v>
      </c>
      <c r="P61" s="136"/>
      <c r="V61" s="176"/>
    </row>
    <row r="62" hidden="1" customHeight="1" spans="3:17">
      <c r="C62" s="183" t="s">
        <v>127</v>
      </c>
      <c r="D62" s="184"/>
      <c r="E62" s="184"/>
      <c r="F62" s="184"/>
      <c r="H62" s="136"/>
      <c r="I62" s="211">
        <f>IF(H58&lt;=3000,0.5/3000*H52,IF(H58&lt;=20000,0.8+(1.5-0.8)/17000*(H58-3000),IF(H58&lt;=100000,1.5+(2-1.5)/80000*(H58-20000),H58/100000*2)))</f>
        <v>0.396517182321782</v>
      </c>
      <c r="L62" s="184"/>
      <c r="M62" s="184"/>
      <c r="N62" s="184"/>
      <c r="P62" s="136"/>
      <c r="Q62" s="211">
        <f>IF(P58&lt;=3000,0.5/3000*P52,IF(P58&lt;=20000,0.8+(1.5-0.8)/17000*(P58-3000),IF(P58&lt;=100000,1.5+(2-1.5)/80000*(P58-20000),P58/100000*2)))</f>
        <v>0.292866666666667</v>
      </c>
    </row>
    <row r="63" hidden="1" customHeight="1" spans="3:22">
      <c r="C63" s="183" t="s">
        <v>122</v>
      </c>
      <c r="D63" s="184"/>
      <c r="E63" s="184"/>
      <c r="F63" s="184"/>
      <c r="G63" s="182"/>
      <c r="H63" s="136"/>
      <c r="L63" s="184"/>
      <c r="M63" s="184"/>
      <c r="N63" s="184"/>
      <c r="O63" s="182"/>
      <c r="P63" s="136"/>
      <c r="V63" s="176"/>
    </row>
    <row r="64" hidden="1" customHeight="1" spans="3:22">
      <c r="C64" s="183" t="s">
        <v>128</v>
      </c>
      <c r="D64" s="184"/>
      <c r="E64" s="184"/>
      <c r="F64" s="184"/>
      <c r="G64" s="185">
        <f>SUM(G65:G69)</f>
        <v>11.5595399047127</v>
      </c>
      <c r="H64" s="186"/>
      <c r="I64" s="212"/>
      <c r="J64" s="210" t="s">
        <v>129</v>
      </c>
      <c r="K64" s="213"/>
      <c r="L64" s="184"/>
      <c r="M64" s="184"/>
      <c r="N64" s="184"/>
      <c r="O64" s="185">
        <f>SUM(O65:O69)</f>
        <v>9.38758784</v>
      </c>
      <c r="P64" s="186"/>
      <c r="Q64" s="212"/>
      <c r="R64" s="210" t="s">
        <v>129</v>
      </c>
      <c r="S64" s="213"/>
      <c r="T64" s="213"/>
      <c r="U64" s="239"/>
      <c r="V64" s="176"/>
    </row>
    <row r="65" hidden="1" customHeight="1" spans="3:22">
      <c r="C65" s="243" t="s">
        <v>130</v>
      </c>
      <c r="D65" s="184"/>
      <c r="E65" s="184"/>
      <c r="F65" s="184"/>
      <c r="G65" s="182">
        <f>IF(H65&lt;=100,H65*1.5%,IF(H65&lt;=500,1.5+(H65-100)*0.8%,IF(H65&lt;=1000,4.7+(H65-500)*0.45%,IF(H65&lt;=5000,6.95+(H65-1000)*0.25%,IF(H65&lt;=10000,16.95+(H65-5000)*0.1%,IF(H65&lt;=50000,21.95+(H65-10000)*0.05%,IF(H65&lt;=100000,46.95+(H65-50000)*0.035%,IF(H65&lt;=500000,64.45+(H65-100000)*0.008%,IF(H65&lt;=1000000,96.45+(H65-500000)*0.006%,126.45+(H65-1000000)*0.004%)))))))))</f>
        <v>0.251020070145</v>
      </c>
      <c r="H65" s="244">
        <f>+H20</f>
        <v>16.734671343</v>
      </c>
      <c r="I65" s="259"/>
      <c r="J65" s="212"/>
      <c r="K65" s="213"/>
      <c r="L65" s="184"/>
      <c r="M65" s="184"/>
      <c r="N65" s="184"/>
      <c r="O65" s="182">
        <f t="shared" ref="O65:O67" si="16">IF(P65&lt;=100,P65*1.5%,IF(P65&lt;=500,1.5+(P65-100)*0.8%,IF(P65&lt;=1000,4.7+(P65-500)*0.45%,IF(P65&lt;=5000,6.95+(P65-1000)*0.25%,IF(P65&lt;=10000,16.95+(P65-5000)*0.1%,IF(P65&lt;=50000,21.95+(P65-10000)*0.05%,IF(P65&lt;=100000,46.95+(P65-50000)*0.035%,IF(P65&lt;=500000,64.45+(P65-100000)*0.008%,IF(P65&lt;=1000000,96.45+(P65-500000)*0.006%,126.45+(P65-1000000)*0.004%)))))))))</f>
        <v>0</v>
      </c>
      <c r="P65" s="244">
        <f>+P20</f>
        <v>0</v>
      </c>
      <c r="Q65" s="259"/>
      <c r="R65" s="212"/>
      <c r="S65" s="213"/>
      <c r="T65" s="213"/>
      <c r="U65" s="239"/>
      <c r="V65" s="176"/>
    </row>
    <row r="66" hidden="1" customHeight="1" spans="3:22">
      <c r="C66" s="243" t="s">
        <v>131</v>
      </c>
      <c r="D66" s="184"/>
      <c r="E66" s="184"/>
      <c r="F66" s="184"/>
      <c r="G66" s="182">
        <f>IF(H66&lt;=100,H66*1.5%,IF(H66&lt;=500,1.5+(H66-100)*0.8%,IF(H66&lt;=1000,4.7+(H66-500)*0.45%,IF(H66&lt;=5000,6.95+(H66-1000)*0.25%,IF(H66&lt;=10000,16.95+(H66-5000)*0.1%,IF(H66&lt;=50000,21.95+(H66-10000)*0.05%,IF(H66&lt;=100000,46.95+(H66-50000)*0.035%,IF(H66&lt;=500000,64.45+(H66-100000)*0.008%,IF(H66&lt;=1000000,96.45+(H66-500000)*0.006%,126.45+(H66-1000000)*0.004%)))))))))</f>
        <v>1.1205923911875</v>
      </c>
      <c r="H66" s="244">
        <f>+H22</f>
        <v>74.7061594125</v>
      </c>
      <c r="I66" s="212"/>
      <c r="J66" s="212"/>
      <c r="K66" s="213"/>
      <c r="L66" s="184"/>
      <c r="M66" s="184"/>
      <c r="N66" s="184"/>
      <c r="O66" s="182">
        <f t="shared" si="16"/>
        <v>0.6532992</v>
      </c>
      <c r="P66" s="244">
        <f>+P22</f>
        <v>43.55328</v>
      </c>
      <c r="Q66" s="212"/>
      <c r="R66" s="212"/>
      <c r="S66" s="213"/>
      <c r="T66" s="213"/>
      <c r="U66" s="239"/>
      <c r="V66" s="176"/>
    </row>
    <row r="67" hidden="1" customHeight="1" spans="3:22">
      <c r="C67" s="243" t="s">
        <v>132</v>
      </c>
      <c r="D67" s="184"/>
      <c r="E67" s="184"/>
      <c r="F67" s="184"/>
      <c r="G67" s="182">
        <f>IF(H67&lt;=100,H67*1.5%,IF(H67&lt;=500,1.5+(H67-100)*0.8%,IF(H67&lt;=1000,4.7+(H67-500)*0.45%,IF(H67&lt;=5000,6.95+(H67-1000)*0.25%,IF(H67&lt;=10000,16.95+(H67-5000)*0.1%,IF(H67&lt;=50000,21.95+(H67-10000)*0.05%,IF(H67&lt;=100000,46.95+(H67-50000)*0.035%,IF(H67&lt;=500000,64.45+(H67-100000)*0.008%,IF(H67&lt;=1000000,96.45+(H67-500000)*0.006%,126.45+(H67-1000000)*0.004%)))))))))</f>
        <v>0.63001431488016</v>
      </c>
      <c r="H67" s="244">
        <f>+H19</f>
        <v>42.000954325344</v>
      </c>
      <c r="I67" s="212"/>
      <c r="J67" s="212"/>
      <c r="K67" s="213"/>
      <c r="L67" s="184"/>
      <c r="M67" s="184"/>
      <c r="N67" s="184"/>
      <c r="O67" s="182">
        <f t="shared" si="16"/>
        <v>0.49980864</v>
      </c>
      <c r="P67" s="244">
        <f>+P19</f>
        <v>33.320576</v>
      </c>
      <c r="Q67" s="212"/>
      <c r="R67" s="212"/>
      <c r="S67" s="213"/>
      <c r="T67" s="213"/>
      <c r="U67" s="239"/>
      <c r="V67" s="176"/>
    </row>
    <row r="68" hidden="1" customHeight="1" spans="3:21">
      <c r="C68" s="243" t="s">
        <v>133</v>
      </c>
      <c r="D68" s="184"/>
      <c r="E68" s="184"/>
      <c r="F68" s="184"/>
      <c r="G68" s="182">
        <f>IF(H68&lt;=100,H68*1%,IF(H68&lt;=500,1+(H68-100)*0.7%,IF(H68&lt;=1000,3.8+(H68-500)*0.55%,IF(H68&lt;=5000,6.55+(H68-1000)*0.35%,IF(H68&lt;=10000,20.55+(H68-5000)*0.2%,IF(H68&lt;=50000,30.55+(H68-10000)*0.05%,IF(H68&lt;=100000,50.55+(H68-50000)*0.035%,IF(H68&lt;=500000,68.05+(H68-100000)*0.008%,IF(H68&lt;=1000000,100.05+(H68-500000)*0.006%,130.05+(H68-1000000)*0.004%)))))))))</f>
        <v>9.5579131285</v>
      </c>
      <c r="H68" s="244">
        <f>+H12</f>
        <v>1859.403751</v>
      </c>
      <c r="I68" s="212"/>
      <c r="J68" s="212"/>
      <c r="K68" s="213"/>
      <c r="L68" s="184"/>
      <c r="M68" s="184"/>
      <c r="N68" s="184"/>
      <c r="O68" s="182">
        <f>IF(P68&lt;=100,P68*1%,IF(P68&lt;=500,1+(P68-100)*0.7%,IF(P68&lt;=1000,3.8+(P68-500)*0.55%,IF(P68&lt;=5000,6.55+(P68-1000)*0.35%,IF(P68&lt;=10000,20.55+(P68-5000)*0.2%,IF(P68&lt;=50000,30.55+(P68-10000)*0.05%,IF(P68&lt;=100000,50.55+(P68-50000)*0.035%,IF(P68&lt;=500000,68.05+(P68-100000)*0.008%,IF(P68&lt;=1000000,100.05+(P68-500000)*0.006%,130.05+(P68-1000000)*0.004%)))))))))</f>
        <v>8.23448</v>
      </c>
      <c r="P68" s="244">
        <f>+P12</f>
        <v>1481.28</v>
      </c>
      <c r="Q68" s="212"/>
      <c r="R68" s="212"/>
      <c r="S68" s="213"/>
      <c r="T68" s="213"/>
      <c r="U68" s="239"/>
    </row>
    <row r="69" hidden="1" customHeight="1" spans="3:22">
      <c r="C69" s="183" t="s">
        <v>122</v>
      </c>
      <c r="D69" s="184"/>
      <c r="E69" s="184"/>
      <c r="F69" s="184"/>
      <c r="G69" s="182"/>
      <c r="H69" s="136"/>
      <c r="L69" s="184"/>
      <c r="M69" s="184"/>
      <c r="N69" s="184"/>
      <c r="O69" s="182"/>
      <c r="P69" s="136"/>
      <c r="V69" s="176"/>
    </row>
    <row r="70" hidden="1" customHeight="1" spans="3:22">
      <c r="C70" s="183" t="s">
        <v>134</v>
      </c>
      <c r="D70" s="184"/>
      <c r="E70" s="184"/>
      <c r="F70" s="184"/>
      <c r="G70" s="182">
        <f>SUM(G71:G75)</f>
        <v>3.72070517197013</v>
      </c>
      <c r="I70" s="213"/>
      <c r="J70" s="210" t="s">
        <v>135</v>
      </c>
      <c r="K70" s="213"/>
      <c r="L70" s="184"/>
      <c r="M70" s="184"/>
      <c r="N70" s="184"/>
      <c r="O70" s="182">
        <f>SUM(O71:O75)</f>
        <v>2.663766272</v>
      </c>
      <c r="Q70" s="213"/>
      <c r="R70" s="210" t="s">
        <v>135</v>
      </c>
      <c r="S70" s="213"/>
      <c r="T70" s="213"/>
      <c r="U70" s="239"/>
      <c r="V70" s="176"/>
    </row>
    <row r="71" hidden="1" customHeight="1" spans="3:22">
      <c r="C71" s="183" t="s">
        <v>136</v>
      </c>
      <c r="D71" s="184"/>
      <c r="E71" s="184"/>
      <c r="F71" s="184"/>
      <c r="G71" s="182">
        <f>+H71*1.2%</f>
        <v>0.200816056116</v>
      </c>
      <c r="H71" s="136">
        <f>+H20</f>
        <v>16.734671343</v>
      </c>
      <c r="I71" s="189"/>
      <c r="J71" s="213"/>
      <c r="K71" s="213"/>
      <c r="L71" s="184"/>
      <c r="M71" s="184"/>
      <c r="N71" s="184"/>
      <c r="O71" s="182">
        <f t="shared" ref="O71:O73" si="17">+P71*1.2%</f>
        <v>0</v>
      </c>
      <c r="P71" s="136">
        <f>+P20</f>
        <v>0</v>
      </c>
      <c r="Q71" s="189"/>
      <c r="R71" s="213"/>
      <c r="S71" s="213"/>
      <c r="T71" s="213"/>
      <c r="U71" s="239"/>
      <c r="V71" s="176"/>
    </row>
    <row r="72" hidden="1" customHeight="1" spans="3:21">
      <c r="C72" s="183" t="s">
        <v>137</v>
      </c>
      <c r="D72" s="184"/>
      <c r="E72" s="184"/>
      <c r="F72" s="184"/>
      <c r="G72" s="182">
        <f>+H72*1.2%</f>
        <v>0.89647391295</v>
      </c>
      <c r="H72" s="136">
        <f>+H22</f>
        <v>74.7061594125</v>
      </c>
      <c r="I72" s="213"/>
      <c r="J72" s="213"/>
      <c r="K72" s="213"/>
      <c r="L72" s="184"/>
      <c r="M72" s="184"/>
      <c r="N72" s="184"/>
      <c r="O72" s="182">
        <f t="shared" si="17"/>
        <v>0.52263936</v>
      </c>
      <c r="P72" s="136">
        <f>+P22</f>
        <v>43.55328</v>
      </c>
      <c r="Q72" s="213"/>
      <c r="R72" s="213"/>
      <c r="S72" s="213"/>
      <c r="T72" s="213"/>
      <c r="U72" s="239"/>
    </row>
    <row r="73" hidden="1" customHeight="1" spans="3:22">
      <c r="C73" s="183" t="s">
        <v>138</v>
      </c>
      <c r="D73" s="184"/>
      <c r="E73" s="184"/>
      <c r="F73" s="184"/>
      <c r="G73" s="182">
        <f>+H73*1.2%</f>
        <v>0.504011451904128</v>
      </c>
      <c r="H73" s="136">
        <f>+H19</f>
        <v>42.000954325344</v>
      </c>
      <c r="I73" s="213"/>
      <c r="J73" s="213"/>
      <c r="K73" s="213"/>
      <c r="L73" s="184"/>
      <c r="M73" s="184"/>
      <c r="N73" s="184"/>
      <c r="O73" s="182">
        <f t="shared" si="17"/>
        <v>0.399846912</v>
      </c>
      <c r="P73" s="136">
        <f>+P19</f>
        <v>33.320576</v>
      </c>
      <c r="Q73" s="213"/>
      <c r="R73" s="213"/>
      <c r="S73" s="213"/>
      <c r="T73" s="213"/>
      <c r="U73" s="239"/>
      <c r="V73" s="176"/>
    </row>
    <row r="74" hidden="1" customHeight="1" spans="3:22">
      <c r="C74" s="183" t="s">
        <v>139</v>
      </c>
      <c r="D74" s="184"/>
      <c r="E74" s="184"/>
      <c r="F74" s="184"/>
      <c r="G74" s="182">
        <f>IF(H74&lt;=300,H74*0.14%,IF(H74&lt;=1000,0.42+(H74-300)*0.12%,IF(H74&lt;=3000,1.26+(H74-1000)*0.1%,IF(H74&lt;=5000,3.26+(H74-3000)*0.08%,IF(H74&lt;=10000,4.86+(H74-5000)*0.07%,IF(H74&lt;=20000,8.36+(H74-10000)*0.04%,12.36))))))</f>
        <v>2.119403751</v>
      </c>
      <c r="H74" s="136">
        <f>+H12</f>
        <v>1859.403751</v>
      </c>
      <c r="I74" s="213"/>
      <c r="J74" s="213"/>
      <c r="K74" s="213"/>
      <c r="L74" s="184"/>
      <c r="M74" s="184"/>
      <c r="N74" s="184"/>
      <c r="O74" s="182">
        <f>IF(P74&lt;=300,P74*0.14%,IF(P74&lt;=1000,0.42+(P74-300)*0.12%,IF(P74&lt;=3000,1.26+(P74-1000)*0.1%,IF(P74&lt;=5000,3.26+(P74-3000)*0.08%,IF(P74&lt;=10000,4.86+(P74-5000)*0.07%,IF(P74&lt;=20000,8.36+(P74-10000)*0.04%,12.36))))))</f>
        <v>1.74128</v>
      </c>
      <c r="P74" s="136">
        <f>+P12</f>
        <v>1481.28</v>
      </c>
      <c r="Q74" s="213"/>
      <c r="R74" s="213"/>
      <c r="S74" s="213"/>
      <c r="T74" s="213"/>
      <c r="U74" s="239"/>
      <c r="V74" s="176"/>
    </row>
    <row r="75" hidden="1" customHeight="1" spans="3:22">
      <c r="C75" s="183" t="s">
        <v>122</v>
      </c>
      <c r="D75" s="184"/>
      <c r="E75" s="184"/>
      <c r="F75" s="184"/>
      <c r="G75" s="182"/>
      <c r="H75" s="136"/>
      <c r="L75" s="184"/>
      <c r="M75" s="184"/>
      <c r="N75" s="184"/>
      <c r="O75" s="182"/>
      <c r="P75" s="136"/>
      <c r="V75" s="176"/>
    </row>
    <row r="76" hidden="1" customHeight="1" spans="3:22">
      <c r="C76" s="183" t="s">
        <v>140</v>
      </c>
      <c r="D76" s="184"/>
      <c r="E76" s="184"/>
      <c r="F76" s="184"/>
      <c r="G76" s="182">
        <f>SUM(G77:G79)</f>
        <v>4.8559003618125</v>
      </c>
      <c r="I76" s="213"/>
      <c r="J76" s="210" t="s">
        <v>141</v>
      </c>
      <c r="K76" s="213"/>
      <c r="L76" s="184"/>
      <c r="M76" s="184"/>
      <c r="N76" s="184"/>
      <c r="O76" s="182">
        <f>SUM(O77:O79)</f>
        <v>2.8309632</v>
      </c>
      <c r="Q76" s="213"/>
      <c r="R76" s="210" t="s">
        <v>141</v>
      </c>
      <c r="S76" s="213"/>
      <c r="T76" s="213"/>
      <c r="U76" s="239"/>
      <c r="V76" s="176"/>
    </row>
    <row r="77" hidden="1" customHeight="1" spans="3:22">
      <c r="C77" s="183" t="s">
        <v>142</v>
      </c>
      <c r="D77" s="184"/>
      <c r="E77" s="184"/>
      <c r="F77" s="184"/>
      <c r="G77" s="182">
        <f>+H77*3.5%</f>
        <v>0</v>
      </c>
      <c r="H77" s="136"/>
      <c r="I77" s="189"/>
      <c r="J77" s="213"/>
      <c r="K77" s="213"/>
      <c r="L77" s="184"/>
      <c r="M77" s="184"/>
      <c r="N77" s="184"/>
      <c r="O77" s="182">
        <f>+P77*3.5%</f>
        <v>0</v>
      </c>
      <c r="P77" s="136"/>
      <c r="Q77" s="189"/>
      <c r="R77" s="213"/>
      <c r="S77" s="213"/>
      <c r="T77" s="213"/>
      <c r="U77" s="239"/>
      <c r="V77" s="176"/>
    </row>
    <row r="78" hidden="1" customHeight="1" spans="3:22">
      <c r="C78" s="183" t="s">
        <v>143</v>
      </c>
      <c r="D78" s="184"/>
      <c r="E78" s="184"/>
      <c r="F78" s="184"/>
      <c r="G78" s="182">
        <f>IF(D109&lt;=1000,H78*6.5%,IF(D109&lt;=3000,H78*6%,IF(D109&lt;=5000,H78*5.5%,IF(D109&lt;=10000,H78*5%,H78*4%))))</f>
        <v>4.8559003618125</v>
      </c>
      <c r="H78" s="136">
        <f>+H22</f>
        <v>74.7061594125</v>
      </c>
      <c r="I78" s="213"/>
      <c r="J78" s="213"/>
      <c r="K78" s="213"/>
      <c r="L78" s="184"/>
      <c r="M78" s="184"/>
      <c r="N78" s="184"/>
      <c r="O78" s="182">
        <f>IF(L109&lt;=1000,P78*6.5%,IF(L109&lt;=3000,P78*6%,IF(L109&lt;=5000,P78*5.5%,IF(L109&lt;=10000,P78*5%,P78*4%))))</f>
        <v>2.8309632</v>
      </c>
      <c r="P78" s="136">
        <f>+P22</f>
        <v>43.55328</v>
      </c>
      <c r="Q78" s="213"/>
      <c r="R78" s="213"/>
      <c r="S78" s="213"/>
      <c r="T78" s="213"/>
      <c r="U78" s="239"/>
      <c r="V78" s="176"/>
    </row>
    <row r="79" hidden="1" customHeight="1" spans="3:22">
      <c r="C79" s="183" t="s">
        <v>144</v>
      </c>
      <c r="D79" s="184"/>
      <c r="E79" s="184"/>
      <c r="F79" s="184"/>
      <c r="G79" s="182"/>
      <c r="H79" s="136"/>
      <c r="L79" s="184"/>
      <c r="M79" s="184"/>
      <c r="N79" s="184"/>
      <c r="O79" s="182"/>
      <c r="P79" s="136"/>
      <c r="V79" s="176"/>
    </row>
    <row r="80" hidden="1" customHeight="1" spans="3:22">
      <c r="C80" s="183" t="s">
        <v>145</v>
      </c>
      <c r="D80" s="184"/>
      <c r="E80" s="184"/>
      <c r="F80" s="184"/>
      <c r="G80" s="182">
        <f>SUM(G81:G84)+G83</f>
        <v>51.6053918995</v>
      </c>
      <c r="H80" s="176"/>
      <c r="I80" s="213"/>
      <c r="J80" s="260" t="s">
        <v>146</v>
      </c>
      <c r="K80" s="213"/>
      <c r="L80" s="184"/>
      <c r="M80" s="184"/>
      <c r="N80" s="184"/>
      <c r="O80" s="182">
        <f>SUM(O81:O84)+O83</f>
        <v>42.34136</v>
      </c>
      <c r="P80" s="176"/>
      <c r="Q80" s="213"/>
      <c r="R80" s="260" t="s">
        <v>146</v>
      </c>
      <c r="S80" s="213"/>
      <c r="T80" s="213"/>
      <c r="U80" s="239"/>
      <c r="V80" s="176"/>
    </row>
    <row r="81" hidden="1" customHeight="1" spans="3:22">
      <c r="C81" s="183" t="s">
        <v>147</v>
      </c>
      <c r="D81" s="185"/>
      <c r="E81" s="185"/>
      <c r="F81" s="185"/>
      <c r="G81" s="245">
        <f>IF(H81&lt;=500,H81*0.26%,IF(H81&lt;=1000,1.3+(H81-500)*0.23%,IF(H81&lt;=5000,2.45+(H81-1000)*0.19%,IF(H81&lt;=10000,10.05+(H81-5000)*0.16%,IF(H81&lt;=50000,18.05+(H81-10000)*0.13%,IF(H81&lt;=100000,70.05+(H81-50000)*0.11%,125.05+(H81-100000)*0.08%))))))</f>
        <v>4.0828671269</v>
      </c>
      <c r="H81" s="136">
        <f>+H12</f>
        <v>1859.403751</v>
      </c>
      <c r="I81" s="209">
        <f>+G81/H81</f>
        <v>0.00219579374555107</v>
      </c>
      <c r="J81" s="213"/>
      <c r="K81" s="213"/>
      <c r="L81" s="185"/>
      <c r="M81" s="185"/>
      <c r="N81" s="185"/>
      <c r="O81" s="245">
        <f>IF(P81&lt;=500,P81*0.26%,IF(P81&lt;=1000,1.3+(P81-500)*0.23%,IF(P81&lt;=5000,2.45+(P81-1000)*0.19%,IF(P81&lt;=10000,10.05+(P81-5000)*0.16%,IF(P81&lt;=50000,18.05+(P81-10000)*0.13%,IF(P81&lt;=100000,70.05+(P81-50000)*0.11%,125.05+(P81-100000)*0.08%))))))</f>
        <v>3.364432</v>
      </c>
      <c r="P81" s="136">
        <f>+P12</f>
        <v>1481.28</v>
      </c>
      <c r="Q81" s="209">
        <f t="shared" ref="Q81:Q84" si="18">+O81/P81</f>
        <v>0.00227130049686757</v>
      </c>
      <c r="R81" s="213"/>
      <c r="S81" s="213"/>
      <c r="T81" s="213"/>
      <c r="U81" s="239"/>
      <c r="V81" s="176"/>
    </row>
    <row r="82" hidden="1" customHeight="1" spans="3:22">
      <c r="C82" s="183" t="s">
        <v>148</v>
      </c>
      <c r="D82" s="185"/>
      <c r="E82" s="185"/>
      <c r="F82" s="185"/>
      <c r="G82" s="245">
        <f>IF(H82&lt;=500,H82*0.5%,IF(H82&lt;=1000,2.5+(H82-500)*0.46%,IF(H82&lt;=5000,4.8+(H82-1000)*0.4%,IF(H82&lt;=10000,20.8+(H82-5000)*0.35%,IF(H82&lt;=50000,38.3+(H82-10000)*0.3%,IF(H82&lt;=100000,158.3+(H82-50000)*0.24%,278.3+(H82-100000)*0.2%))))))</f>
        <v>8.237615004</v>
      </c>
      <c r="H82" s="136">
        <f>+H12</f>
        <v>1859.403751</v>
      </c>
      <c r="I82" s="209">
        <f>+G82/H82</f>
        <v>0.00443024544807428</v>
      </c>
      <c r="J82" s="213"/>
      <c r="K82" s="213"/>
      <c r="L82" s="185"/>
      <c r="M82" s="185"/>
      <c r="N82" s="185"/>
      <c r="O82" s="245">
        <f>IF(P82&lt;=500,P82*0.5%,IF(P82&lt;=1000,2.5+(P82-500)*0.46%,IF(P82&lt;=5000,4.8+(P82-1000)*0.4%,IF(P82&lt;=10000,20.8+(P82-5000)*0.35%,IF(P82&lt;=50000,38.3+(P82-10000)*0.3%,IF(P82&lt;=100000,158.3+(P82-50000)*0.24%,278.3+(P82-100000)*0.2%))))))</f>
        <v>6.72512</v>
      </c>
      <c r="P82" s="136">
        <f>+P12</f>
        <v>1481.28</v>
      </c>
      <c r="Q82" s="209">
        <f t="shared" si="18"/>
        <v>0.0045400734499892</v>
      </c>
      <c r="R82" s="213"/>
      <c r="S82" s="213"/>
      <c r="T82" s="213"/>
      <c r="U82" s="239"/>
      <c r="V82" s="176"/>
    </row>
    <row r="83" hidden="1" customHeight="1" spans="3:21">
      <c r="C83" s="183" t="s">
        <v>149</v>
      </c>
      <c r="D83" s="185"/>
      <c r="E83" s="185"/>
      <c r="F83" s="185"/>
      <c r="G83" s="245">
        <f>IF(H83&lt;=500,H83*0.49%,IF(H83&lt;=1000,2.45+(H83-500)*0.44%,IF(H83&lt;=5000,4.65+(H83-1000)*0.38%,IF(H83&lt;=10000,19.85+(H83-5000)*0.33%,IF(H83&lt;=50000,36.35+(H83-10000)*0.28%,IF(H83&lt;=100000,148.35+(H83-50000)*0.22%,258.355+(H83-100000)*0.19%))))))</f>
        <v>7.9157342538</v>
      </c>
      <c r="H83" s="136">
        <f>+H12</f>
        <v>1859.403751</v>
      </c>
      <c r="I83" s="209">
        <f>+G83/H83</f>
        <v>0.00425713578857893</v>
      </c>
      <c r="J83" s="213"/>
      <c r="K83" s="213"/>
      <c r="L83" s="185"/>
      <c r="M83" s="185"/>
      <c r="N83" s="185"/>
      <c r="O83" s="245">
        <f>IF(P83&lt;=500,P83*0.49%,IF(P83&lt;=1000,2.45+(P83-500)*0.44%,IF(P83&lt;=5000,4.65+(P83-1000)*0.38%,IF(P83&lt;=10000,19.85+(P83-5000)*0.33%,IF(P83&lt;=50000,36.35+(P83-10000)*0.28%,IF(P83&lt;=100000,148.35+(P83-50000)*0.22%,258.355+(P83-100000)*0.19%))))))</f>
        <v>6.478864</v>
      </c>
      <c r="P83" s="136">
        <f>+P12</f>
        <v>1481.28</v>
      </c>
      <c r="Q83" s="209">
        <f t="shared" si="18"/>
        <v>0.00437382804061352</v>
      </c>
      <c r="R83" s="213"/>
      <c r="S83" s="213"/>
      <c r="T83" s="213"/>
      <c r="U83" s="239"/>
    </row>
    <row r="84" hidden="1" customHeight="1" spans="3:21">
      <c r="C84" s="183" t="s">
        <v>150</v>
      </c>
      <c r="D84" s="185"/>
      <c r="E84" s="185"/>
      <c r="F84" s="185"/>
      <c r="G84" s="245">
        <f>IF(H84&lt;=500,H84*1.5%,IF(H84&lt;=1000,7.5+(H84-500)*1.3%,IF(H84&lt;=5000,14+(H84-1000)*1.1%,IF(H84&lt;=10000,58+(H84-5000)*0.9%,IF(H84&lt;=50000,103+(H84-10000)*0.7%,IF(H84&lt;=100000,383+(H84-50000)*0.6%,683+(H84-100000)*0.5%))))))</f>
        <v>23.453441261</v>
      </c>
      <c r="H84" s="136">
        <f>+H12</f>
        <v>1859.403751</v>
      </c>
      <c r="I84" s="209">
        <f>+G84/H84</f>
        <v>0.0126134204302786</v>
      </c>
      <c r="J84" s="213"/>
      <c r="K84" s="213"/>
      <c r="L84" s="185"/>
      <c r="M84" s="185"/>
      <c r="N84" s="185"/>
      <c r="O84" s="245">
        <f>IF(P84&lt;=500,P84*1.5%,IF(P84&lt;=1000,7.5+(P84-500)*1.3%,IF(P84&lt;=5000,14+(P84-1000)*1.1%,IF(P84&lt;=10000,58+(P84-5000)*0.9%,IF(P84&lt;=50000,103+(P84-10000)*0.7%,IF(P84&lt;=100000,383+(P84-50000)*0.6%,683+(P84-100000)*0.5%))))))</f>
        <v>19.29408</v>
      </c>
      <c r="P84" s="136">
        <f>+P12</f>
        <v>1481.28</v>
      </c>
      <c r="Q84" s="209">
        <f t="shared" si="18"/>
        <v>0.0130252754374595</v>
      </c>
      <c r="R84" s="213"/>
      <c r="S84" s="213"/>
      <c r="T84" s="213"/>
      <c r="U84" s="239"/>
    </row>
    <row r="85" hidden="1" customHeight="1" spans="3:21">
      <c r="C85" s="243" t="s">
        <v>122</v>
      </c>
      <c r="D85" s="185"/>
      <c r="E85" s="185"/>
      <c r="F85" s="185"/>
      <c r="G85" s="185"/>
      <c r="H85" s="244"/>
      <c r="I85" s="212"/>
      <c r="J85" s="212"/>
      <c r="K85" s="213"/>
      <c r="L85" s="185"/>
      <c r="M85" s="185"/>
      <c r="N85" s="185"/>
      <c r="O85" s="185"/>
      <c r="P85" s="244"/>
      <c r="Q85" s="212"/>
      <c r="R85" s="212"/>
      <c r="S85" s="213"/>
      <c r="T85" s="213"/>
      <c r="U85" s="239"/>
    </row>
    <row r="86" hidden="1" customHeight="1" spans="3:21">
      <c r="C86" s="183" t="s">
        <v>151</v>
      </c>
      <c r="D86" s="184"/>
      <c r="E86" s="184"/>
      <c r="F86" s="184"/>
      <c r="G86" s="182">
        <f>+G87</f>
        <v>11.156422506</v>
      </c>
      <c r="H86" s="239" t="s">
        <v>152</v>
      </c>
      <c r="I86" s="213"/>
      <c r="J86" s="213"/>
      <c r="K86" s="213"/>
      <c r="L86" s="184"/>
      <c r="M86" s="184"/>
      <c r="N86" s="184"/>
      <c r="O86" s="182">
        <f>+O87</f>
        <v>8.88768</v>
      </c>
      <c r="P86" s="239" t="s">
        <v>152</v>
      </c>
      <c r="Q86" s="213"/>
      <c r="R86" s="213"/>
      <c r="S86" s="213"/>
      <c r="T86" s="213"/>
      <c r="U86" s="239"/>
    </row>
    <row r="87" hidden="1" customHeight="1" spans="3:20">
      <c r="C87" s="183" t="s">
        <v>153</v>
      </c>
      <c r="D87" s="184"/>
      <c r="E87" s="184"/>
      <c r="F87" s="184"/>
      <c r="G87" s="182">
        <f>IF(H87&lt;=5000,H87*0.6%,IF(H87&lt;=10000,30+(H87-5000)*22/5000,IF(H87&lt;=20000,52+(H87-10000)*20/10000,IF(H87&lt;=30000,72+(H87-20000)*10/10000,IF(H87&lt;=40000,82+(H87-30000)*13/10000,IF(H87&lt;=50000,95+(H87-10000)*9/10000,IF(H87&lt;=60000,104+(H87-50000)*12/10000,IF(H87&lt;=70000,116+(H87-60000)*3/10000,IF(H87&lt;=80000,119+(H87-70000)*13/10000,IF(H87&lt;=90000,132+(H87-80000)*15/10000,IF(H87&lt;=100000,156+(H87-90000)*15/10000,0)))))))))))+IF(H87&gt;=200000,H87*0.175%,IF(H87&gt;=190000,320+(H87-190000)*30/10000,IF(H87&gt;=180000,290+(H87-180000)*30/10000,IF(H87&gt;=170000,270+(H87-170000)*20/10000,IF(H87&gt;=160000,259+(H87-160000)*11/10000,IF(H87&gt;=150000,245+(H87-150000)*14/10000,IF(H87&gt;=140000,230+(H87-140000)*15/10000,IF(H87&gt;130000,220+(H87-130000)*10/10000,IF(H87&gt;120000,200+(H87-120000)*20/10000,IF(H87&gt;110000,185+(H87-110000)*15/10000,IF(H87&gt;100000,171+(H87-100000)*14/10000,0)))))))))))</f>
        <v>11.156422506</v>
      </c>
      <c r="H87" s="136">
        <f>+H12</f>
        <v>1859.403751</v>
      </c>
      <c r="I87" s="209">
        <f>+G87/H87</f>
        <v>0.006</v>
      </c>
      <c r="J87" s="213"/>
      <c r="K87" s="213"/>
      <c r="L87" s="184"/>
      <c r="M87" s="184"/>
      <c r="N87" s="184"/>
      <c r="O87" s="182">
        <f>IF(P87&lt;=5000,P87*0.6%,IF(P87&lt;=10000,30+(P87-5000)*22/5000,IF(P87&lt;=20000,52+(P87-10000)*20/10000,IF(P87&lt;=30000,72+(P87-20000)*10/10000,IF(P87&lt;=40000,82+(P87-30000)*13/10000,IF(P87&lt;=50000,95+(P87-10000)*9/10000,IF(P87&lt;=60000,104+(P87-50000)*12/10000,IF(P87&lt;=70000,116+(P87-60000)*3/10000,IF(P87&lt;=80000,119+(P87-70000)*13/10000,IF(P87&lt;=90000,132+(P87-80000)*15/10000,IF(P87&lt;=100000,156+(P87-90000)*15/10000,0)))))))))))+IF(P87&gt;=200000,P87*0.175%,IF(P87&gt;=190000,320+(P87-190000)*30/10000,IF(P87&gt;=180000,290+(P87-180000)*30/10000,IF(P87&gt;=170000,270+(P87-170000)*20/10000,IF(P87&gt;=160000,259+(P87-160000)*11/10000,IF(P87&gt;=150000,245+(P87-150000)*14/10000,IF(P87&gt;=140000,230+(P87-140000)*15/10000,IF(P87&gt;130000,220+(P87-130000)*10/10000,IF(P87&gt;120000,200+(P87-120000)*20/10000,IF(P87&gt;110000,185+(P87-110000)*15/10000,IF(P87&gt;100000,171+(P87-100000)*14/10000,0)))))))))))</f>
        <v>8.88768</v>
      </c>
      <c r="P87" s="136">
        <f>+P12</f>
        <v>1481.28</v>
      </c>
      <c r="Q87" s="209">
        <f t="shared" ref="Q87:Q90" si="19">+O87/P87</f>
        <v>0.006</v>
      </c>
      <c r="R87" s="213"/>
      <c r="S87" s="213"/>
      <c r="T87" s="213"/>
    </row>
    <row r="88" hidden="1" customHeight="1" spans="3:20">
      <c r="C88" s="183" t="s">
        <v>154</v>
      </c>
      <c r="D88" s="184"/>
      <c r="E88" s="184"/>
      <c r="F88" s="184"/>
      <c r="G88" s="245">
        <f>IF(H88&lt;=5000,H88*0.6%,IF(H88&lt;=10000,30+(H88-5000)*30/5000,IF(H88&lt;=20000,60+(H88-10000)*20/10000,IF(H88&lt;=30000,90+(H88-20000)*50/10000,IF(H88&lt;=40000,140+(H88-30000)*40/10000,IF(H88&lt;=50000,180+(H88-10000)*40/10000,IF(H88&lt;=60000,220+(H88-50000)*55/10000,IF(H88&lt;=70000,275+(H88-60000)*35/10000,IF(H88&lt;=80000,310+(H88-70000)*40/10000,IF(H88&lt;=90000,350+(H88-80000)*35/10000,IF(H88&lt;=100000,385+(H88-90000)*35/10000,0)))))))))))+IF(H88&gt;=200000,H88*0.38%,IF(H88&gt;=190000,735+(H88-190000)*25/10000,IF(H88&gt;=180000,710+(H88-180000)*25/10000,IF(H88&gt;=170000,680+(H88-170000)*30/10000,IF(H88&gt;=160000,640+(H88-160000)*40/10000,IF(H88&gt;=150000,600+(H88-150000)*40/10000,IF(H88&gt;=140000,560+(H88-140000)*40/10000,IF(H88&gt;130000,525+(H88-130000)*35/10000,IF(H88&gt;120000,490+(H88-120000)*35/10000,IF(H88&gt;110000,460+(H88-110000)*30/10000,IF(H88&gt;100000,420+(H88-100000)*40/10000,0)))))))))))</f>
        <v>11.156422506</v>
      </c>
      <c r="H88" s="136">
        <f>+H12</f>
        <v>1859.403751</v>
      </c>
      <c r="I88" s="209">
        <f>+G88/H88</f>
        <v>0.006</v>
      </c>
      <c r="J88" s="213"/>
      <c r="K88" s="213"/>
      <c r="L88" s="184"/>
      <c r="M88" s="184"/>
      <c r="N88" s="184"/>
      <c r="O88" s="245">
        <f>IF(P88&lt;=5000,P88*0.6%,IF(P88&lt;=10000,30+(P88-5000)*30/5000,IF(P88&lt;=20000,60+(P88-10000)*20/10000,IF(P88&lt;=30000,90+(P88-20000)*50/10000,IF(P88&lt;=40000,140+(P88-30000)*40/10000,IF(P88&lt;=50000,180+(P88-10000)*40/10000,IF(P88&lt;=60000,220+(P88-50000)*55/10000,IF(P88&lt;=70000,275+(P88-60000)*35/10000,IF(P88&lt;=80000,310+(P88-70000)*40/10000,IF(P88&lt;=90000,350+(P88-80000)*35/10000,IF(P88&lt;=100000,385+(P88-90000)*35/10000,0)))))))))))+IF(P88&gt;=200000,P88*0.38%,IF(P88&gt;=190000,735+(P88-190000)*25/10000,IF(P88&gt;=180000,710+(P88-180000)*25/10000,IF(P88&gt;=170000,680+(P88-170000)*30/10000,IF(P88&gt;=160000,640+(P88-160000)*40/10000,IF(P88&gt;=150000,600+(P88-150000)*40/10000,IF(P88&gt;=140000,560+(P88-140000)*40/10000,IF(P88&gt;130000,525+(P88-130000)*35/10000,IF(P88&gt;120000,490+(P88-120000)*35/10000,IF(P88&gt;110000,460+(P88-110000)*30/10000,IF(P88&gt;100000,420+(P88-100000)*40/10000,0)))))))))))</f>
        <v>8.88768</v>
      </c>
      <c r="P88" s="136">
        <f>+P12</f>
        <v>1481.28</v>
      </c>
      <c r="Q88" s="209">
        <f t="shared" si="19"/>
        <v>0.006</v>
      </c>
      <c r="R88" s="213"/>
      <c r="S88" s="213"/>
      <c r="T88" s="213"/>
    </row>
    <row r="89" hidden="1" customHeight="1" spans="3:20">
      <c r="C89" s="183" t="s">
        <v>155</v>
      </c>
      <c r="D89" s="184"/>
      <c r="E89" s="184"/>
      <c r="F89" s="184"/>
      <c r="G89" s="245">
        <f>IF(H89&lt;=5000,H89*0.2%,IF(H89&lt;=10000,10+(H89-5000)*8/5000,IF(H89&lt;=20000,18+(H89-10000)*12/10000,IF(H89&lt;=30000,30+(H89-20000)*6/10000,IF(H89&lt;=40000,36+(H89-30000)*6/10000,IF(H89&lt;=50000,42+(H89-10000)*6/10000,IF(H89&lt;=60000,48+(H89-50000)*6/10000,IF(H89&lt;=70000,54+(H89-60000)*6/10000,IF(H89&lt;=80000,60+(H89-70000)*6/10000,IF(H89&lt;=90000,66+(H89-80000)*6/10000,IF(H89&lt;=100000,72+(H89-90000)*6/10000,0)))))))))))+IF(H89&gt;=200000,H89*0.08%,IF(H89&gt;=190000,150+(H89-190000)*10/10000,IF(H89&gt;=180000,144+(H89-180000)*6/10000,IF(H89&gt;=170000,130+(H89-170000)*14/10000,IF(H89&gt;=160000,126+(H89-160000)*4/10000,IF(H89&gt;=150000,119+(H89-150000)*7/10000,IF(H89&gt;=140000,116+(H89-140000)*3/10000,IF(H89&gt;130000,111+(H89-130000)*5/10000,IF(H89&gt;120000,107+(H89-120000)*4/10000,IF(H89&gt;110000,84+(H89-110000)*23/10000,IF(H89&gt;100000,78+(H89-100000)*6/10000,0)))))))))))</f>
        <v>3.718807502</v>
      </c>
      <c r="H89" s="136">
        <f>+H12</f>
        <v>1859.403751</v>
      </c>
      <c r="I89" s="209">
        <f>+G89/H89</f>
        <v>0.002</v>
      </c>
      <c r="J89" s="213"/>
      <c r="K89" s="213"/>
      <c r="L89" s="184"/>
      <c r="M89" s="184"/>
      <c r="N89" s="184"/>
      <c r="O89" s="245">
        <f>IF(P89&lt;=5000,P89*0.2%,IF(P89&lt;=10000,10+(P89-5000)*8/5000,IF(P89&lt;=20000,18+(P89-10000)*12/10000,IF(P89&lt;=30000,30+(P89-20000)*6/10000,IF(P89&lt;=40000,36+(P89-30000)*6/10000,IF(P89&lt;=50000,42+(P89-10000)*6/10000,IF(P89&lt;=60000,48+(P89-50000)*6/10000,IF(P89&lt;=70000,54+(P89-60000)*6/10000,IF(P89&lt;=80000,60+(P89-70000)*6/10000,IF(P89&lt;=90000,66+(P89-80000)*6/10000,IF(P89&lt;=100000,72+(P89-90000)*6/10000,0)))))))))))+IF(P89&gt;=200000,P89*0.08%,IF(P89&gt;=190000,150+(P89-190000)*10/10000,IF(P89&gt;=180000,144+(P89-180000)*6/10000,IF(P89&gt;=170000,130+(P89-170000)*14/10000,IF(P89&gt;=160000,126+(P89-160000)*4/10000,IF(P89&gt;=150000,119+(P89-150000)*7/10000,IF(P89&gt;=140000,116+(P89-140000)*3/10000,IF(P89&gt;130000,111+(P89-130000)*5/10000,IF(P89&gt;120000,107+(P89-120000)*4/10000,IF(P89&gt;110000,84+(P89-110000)*23/10000,IF(P89&gt;100000,78+(P89-100000)*6/10000,0)))))))))))</f>
        <v>2.96256</v>
      </c>
      <c r="P89" s="136">
        <f>+P12</f>
        <v>1481.28</v>
      </c>
      <c r="Q89" s="209">
        <f t="shared" si="19"/>
        <v>0.002</v>
      </c>
      <c r="R89" s="213"/>
      <c r="S89" s="213"/>
      <c r="T89" s="213"/>
    </row>
    <row r="90" hidden="1" customHeight="1" spans="3:17">
      <c r="C90" s="183" t="s">
        <v>156</v>
      </c>
      <c r="D90" s="184"/>
      <c r="E90" s="184"/>
      <c r="F90" s="184"/>
      <c r="G90" s="245">
        <f>IF(H90&lt;=5000,H90*0.02%,IF(H90&lt;=10000,1+(H90-5000)*0.5/5000,IF(H90&lt;=20000,1.5+(H90-10000)*0.5/10000,IF(H90&lt;=30000,2+(H90-20000)*0.5/10000,IF(H90&lt;=40000,2.5+(H90-30000)*0.4/10000,IF(H90&lt;=50000,2.9+(H90-10000)*0.3/10000,IF(H90&lt;=60000,3.2+(H90-50000)*0.3/10000,IF(H90&lt;=70000,3.5+(H90-60000)*0.3/10000,IF(H90&lt;=80000,3.8+(H90-70000)*0.2/10000,IF(H90&lt;=90000,4+(H90-80000)*0.8/10000,IF(H90&lt;=100000,4.8+(H90-90000)*0.4/10000,0)))))))))))+IF(H90&gt;=200000,H90*0.00475%,IF(H90&gt;=190000,9+(H90-190000)*0.55/10000,IF(H90&gt;=180000,8.5+(H90-180000)*0.5/10000,IF(H90&gt;=170000,8.3+(H90-170000)*0.2/10000,IF(H90&gt;=160000,7.8+(H90-160000)*0.5/10000,IF(H90&gt;=150000,7.5+(H90-150000)*0.3/10000,IF(H90&gt;=140000,7+(H90-140000)*0.5/10000,IF(H90&gt;130000,6.5+(H90-130000)*0.5/10000,IF(H90&gt;120000,6+(H90-120000)*0.5/10000,IF(H90&gt;110000,5.6+(H90-110000)*0.4/10000,IF(H90&gt;100000,5.2+(H90-100000)*0.4/10000,0)))))))))))</f>
        <v>0.3718807502</v>
      </c>
      <c r="H90" s="136">
        <f>+H12</f>
        <v>1859.403751</v>
      </c>
      <c r="I90" s="209">
        <f>+G90/H90</f>
        <v>0.0002</v>
      </c>
      <c r="L90" s="184"/>
      <c r="M90" s="184"/>
      <c r="N90" s="184"/>
      <c r="O90" s="245">
        <f>IF(P90&lt;=5000,P90*0.02%,IF(P90&lt;=10000,1+(P90-5000)*0.5/5000,IF(P90&lt;=20000,1.5+(P90-10000)*0.5/10000,IF(P90&lt;=30000,2+(P90-20000)*0.5/10000,IF(P90&lt;=40000,2.5+(P90-30000)*0.4/10000,IF(P90&lt;=50000,2.9+(P90-10000)*0.3/10000,IF(P90&lt;=60000,3.2+(P90-50000)*0.3/10000,IF(P90&lt;=70000,3.5+(P90-60000)*0.3/10000,IF(P90&lt;=80000,3.8+(P90-70000)*0.2/10000,IF(P90&lt;=90000,4+(P90-80000)*0.8/10000,IF(P90&lt;=100000,4.8+(P90-90000)*0.4/10000,0)))))))))))+IF(P90&gt;=200000,P90*0.00475%,IF(P90&gt;=190000,9+(P90-190000)*0.55/10000,IF(P90&gt;=180000,8.5+(P90-180000)*0.5/10000,IF(P90&gt;=170000,8.3+(P90-170000)*0.2/10000,IF(P90&gt;=160000,7.8+(P90-160000)*0.5/10000,IF(P90&gt;=150000,7.5+(P90-150000)*0.3/10000,IF(P90&gt;=140000,7+(P90-140000)*0.5/10000,IF(P90&gt;130000,6.5+(P90-130000)*0.5/10000,IF(P90&gt;120000,6+(P90-120000)*0.5/10000,IF(P90&gt;110000,5.6+(P90-110000)*0.4/10000,IF(P90&gt;100000,5.2+(P90-100000)*0.4/10000,0)))))))))))</f>
        <v>0.296256</v>
      </c>
      <c r="P90" s="136">
        <f>+P12</f>
        <v>1481.28</v>
      </c>
      <c r="Q90" s="209">
        <f t="shared" si="19"/>
        <v>0.0002</v>
      </c>
    </row>
    <row r="91" hidden="1" customHeight="1" spans="3:20">
      <c r="C91" s="183" t="s">
        <v>157</v>
      </c>
      <c r="D91" s="184"/>
      <c r="E91" s="184"/>
      <c r="F91" s="184"/>
      <c r="G91" s="182" t="e">
        <f>SUM(G92:G97)*K92</f>
        <v>#REF!</v>
      </c>
      <c r="H91" s="136"/>
      <c r="I91" s="209" t="s">
        <v>158</v>
      </c>
      <c r="J91" s="209" t="s">
        <v>159</v>
      </c>
      <c r="K91" s="209" t="s">
        <v>160</v>
      </c>
      <c r="L91" s="184"/>
      <c r="M91" s="184"/>
      <c r="N91" s="184"/>
      <c r="O91" s="182" t="e">
        <f>SUM(O92:O97)*S92</f>
        <v>#REF!</v>
      </c>
      <c r="P91" s="136"/>
      <c r="Q91" s="209" t="s">
        <v>158</v>
      </c>
      <c r="R91" s="209" t="s">
        <v>159</v>
      </c>
      <c r="S91" s="209" t="s">
        <v>160</v>
      </c>
      <c r="T91" s="209"/>
    </row>
    <row r="92" hidden="1" customHeight="1" spans="3:23">
      <c r="C92" s="183" t="s">
        <v>161</v>
      </c>
      <c r="D92" s="184"/>
      <c r="E92" s="184"/>
      <c r="F92" s="184"/>
      <c r="G92" s="182" t="e">
        <f>G95*0.4</f>
        <v>#REF!</v>
      </c>
      <c r="H92" s="136">
        <f>H44</f>
        <v>2379.10309393069</v>
      </c>
      <c r="I92" s="261">
        <v>0.9</v>
      </c>
      <c r="J92" s="141">
        <v>1</v>
      </c>
      <c r="K92" s="141">
        <v>0.4</v>
      </c>
      <c r="L92" s="184"/>
      <c r="M92" s="184"/>
      <c r="N92" s="184"/>
      <c r="O92" s="182" t="e">
        <f>O95*0.4</f>
        <v>#REF!</v>
      </c>
      <c r="P92" s="136">
        <f>P44</f>
        <v>1757.2</v>
      </c>
      <c r="Q92" s="261">
        <v>0.9</v>
      </c>
      <c r="R92" s="141">
        <v>1</v>
      </c>
      <c r="S92" s="141">
        <v>0.4</v>
      </c>
      <c r="W92" s="136"/>
    </row>
    <row r="93" hidden="1" customHeight="1" spans="3:17">
      <c r="C93" s="183" t="s">
        <v>162</v>
      </c>
      <c r="D93" s="184"/>
      <c r="E93" s="184"/>
      <c r="F93" s="184"/>
      <c r="G93" s="182" t="e">
        <f>G95*0.5</f>
        <v>#REF!</v>
      </c>
      <c r="H93" s="136">
        <f>H44</f>
        <v>2379.10309393069</v>
      </c>
      <c r="I93" s="209"/>
      <c r="L93" s="184"/>
      <c r="M93" s="184"/>
      <c r="N93" s="184"/>
      <c r="O93" s="182" t="e">
        <f>O95*0.5</f>
        <v>#REF!</v>
      </c>
      <c r="P93" s="136">
        <f>P44</f>
        <v>1757.2</v>
      </c>
      <c r="Q93" s="209"/>
    </row>
    <row r="94" hidden="1" customHeight="1" spans="3:22">
      <c r="C94" s="183" t="s">
        <v>163</v>
      </c>
      <c r="D94" s="184"/>
      <c r="E94" s="184"/>
      <c r="F94" s="184"/>
      <c r="G94" s="182" t="e">
        <f>G95*0.6</f>
        <v>#REF!</v>
      </c>
      <c r="H94" s="136">
        <f>H44</f>
        <v>2379.10309393069</v>
      </c>
      <c r="I94" s="209"/>
      <c r="L94" s="184"/>
      <c r="M94" s="184"/>
      <c r="N94" s="184"/>
      <c r="O94" s="182" t="e">
        <f>O95*0.6</f>
        <v>#REF!</v>
      </c>
      <c r="P94" s="136">
        <f>P44</f>
        <v>1757.2</v>
      </c>
      <c r="Q94" s="209"/>
      <c r="V94" s="136"/>
    </row>
    <row r="95" hidden="1" customHeight="1" spans="3:17">
      <c r="C95" s="183" t="s">
        <v>164</v>
      </c>
      <c r="D95" s="184"/>
      <c r="E95" s="184"/>
      <c r="F95" s="184"/>
      <c r="G95" s="182" t="e">
        <f>+#REF!</f>
        <v>#REF!</v>
      </c>
      <c r="H95" s="136">
        <f>H44</f>
        <v>2379.10309393069</v>
      </c>
      <c r="I95" s="209"/>
      <c r="L95" s="184"/>
      <c r="M95" s="184"/>
      <c r="N95" s="184"/>
      <c r="O95" s="182" t="e">
        <f>+#REF!</f>
        <v>#REF!</v>
      </c>
      <c r="P95" s="136">
        <f>P44</f>
        <v>1757.2</v>
      </c>
      <c r="Q95" s="209"/>
    </row>
    <row r="96" hidden="1" customHeight="1" spans="3:16">
      <c r="C96" s="183" t="s">
        <v>165</v>
      </c>
      <c r="G96" s="136">
        <f>IF(H96&lt;10000,24*H96/10000,IF(H96&lt;50000,24+(H96-10000)/40000*12,IF(H96&lt;100000,36+(H96-50000)/50000*12,IF(H96&lt;500000,48+(H96-100000)/400000*24,90))))</f>
        <v>5.70984742543366</v>
      </c>
      <c r="H96" s="136">
        <f>H44</f>
        <v>2379.10309393069</v>
      </c>
      <c r="O96" s="136">
        <f>IF(P96&lt;10000,24*P96/10000,IF(P96&lt;50000,24+(P96-10000)/40000*12,IF(P96&lt;100000,36+(P96-50000)/50000*12,IF(P96&lt;500000,48+(P96-100000)/400000*24,90))))</f>
        <v>4.21728</v>
      </c>
      <c r="P96" s="136">
        <f>P44</f>
        <v>1757.2</v>
      </c>
    </row>
    <row r="97" hidden="1" customHeight="1" spans="3:16">
      <c r="C97" s="183" t="s">
        <v>166</v>
      </c>
      <c r="G97" s="136" t="e">
        <f>G95*1.3</f>
        <v>#REF!</v>
      </c>
      <c r="H97" s="136">
        <f>H44</f>
        <v>2379.10309393069</v>
      </c>
      <c r="O97" s="136" t="e">
        <f>O95*1.3</f>
        <v>#REF!</v>
      </c>
      <c r="P97" s="136">
        <f>P44</f>
        <v>1757.2</v>
      </c>
    </row>
    <row r="98" hidden="1" customHeight="1" spans="3:16">
      <c r="C98" s="183"/>
      <c r="H98" s="136"/>
      <c r="P98" s="136"/>
    </row>
    <row r="99" hidden="1" customHeight="1" spans="3:3">
      <c r="C99" s="183"/>
    </row>
    <row r="100" hidden="1" customHeight="1" spans="3:3">
      <c r="C100" s="183"/>
    </row>
    <row r="101" hidden="1" customHeight="1" spans="3:21">
      <c r="C101" s="181"/>
      <c r="D101" s="139" t="b">
        <f t="shared" ref="D101:S101" si="20">+IF(D104*0.8&lt;=D114,FALSE,TRUE)</f>
        <v>0</v>
      </c>
      <c r="E101" s="139" t="b">
        <f t="shared" si="20"/>
        <v>0</v>
      </c>
      <c r="F101" s="139" t="b">
        <f t="shared" si="20"/>
        <v>0</v>
      </c>
      <c r="G101" s="139" t="b">
        <f t="shared" si="20"/>
        <v>0</v>
      </c>
      <c r="H101" s="139" t="b">
        <f t="shared" si="20"/>
        <v>0</v>
      </c>
      <c r="I101" s="141" t="b">
        <f t="shared" si="20"/>
        <v>1</v>
      </c>
      <c r="J101" s="141" t="b">
        <f t="shared" si="20"/>
        <v>0</v>
      </c>
      <c r="K101" s="141" t="b">
        <f t="shared" si="20"/>
        <v>0</v>
      </c>
      <c r="L101" s="139" t="b">
        <f t="shared" si="20"/>
        <v>0</v>
      </c>
      <c r="M101" s="139" t="b">
        <f t="shared" si="20"/>
        <v>0</v>
      </c>
      <c r="N101" s="139" t="b">
        <f t="shared" si="20"/>
        <v>0</v>
      </c>
      <c r="O101" s="139" t="b">
        <f t="shared" si="20"/>
        <v>0</v>
      </c>
      <c r="P101" s="139" t="b">
        <f t="shared" si="20"/>
        <v>0</v>
      </c>
      <c r="Q101" s="141" t="b">
        <f t="shared" si="20"/>
        <v>1</v>
      </c>
      <c r="R101" s="141" t="b">
        <f t="shared" si="20"/>
        <v>0</v>
      </c>
      <c r="S101" s="141" t="b">
        <f t="shared" si="20"/>
        <v>0</v>
      </c>
      <c r="U101" s="142" t="b">
        <f>+IF(U104*0.8&lt;=U114,FALSE,TRUE)</f>
        <v>0</v>
      </c>
    </row>
    <row r="102" hidden="1" customHeight="1" spans="3:21">
      <c r="C102" s="246" t="s">
        <v>167</v>
      </c>
      <c r="D102" s="247" t="s">
        <v>168</v>
      </c>
      <c r="E102" s="247" t="s">
        <v>169</v>
      </c>
      <c r="F102" s="247" t="s">
        <v>170</v>
      </c>
      <c r="G102" s="247" t="s">
        <v>171</v>
      </c>
      <c r="H102" s="248" t="s">
        <v>172</v>
      </c>
      <c r="I102" s="262" t="s">
        <v>28</v>
      </c>
      <c r="J102" s="262"/>
      <c r="K102" s="262" t="s">
        <v>17</v>
      </c>
      <c r="L102" s="247" t="s">
        <v>168</v>
      </c>
      <c r="M102" s="247" t="s">
        <v>169</v>
      </c>
      <c r="N102" s="247" t="s">
        <v>170</v>
      </c>
      <c r="O102" s="247" t="s">
        <v>171</v>
      </c>
      <c r="P102" s="248" t="s">
        <v>172</v>
      </c>
      <c r="Q102" s="262" t="s">
        <v>28</v>
      </c>
      <c r="R102" s="262"/>
      <c r="S102" s="262" t="s">
        <v>17</v>
      </c>
      <c r="T102" s="262"/>
      <c r="U102" s="271" t="s">
        <v>173</v>
      </c>
    </row>
    <row r="103" hidden="1" customHeight="1" spans="3:21">
      <c r="C103" s="246" t="s">
        <v>174</v>
      </c>
      <c r="D103" s="249"/>
      <c r="E103" s="249"/>
      <c r="F103" s="249"/>
      <c r="G103" s="249"/>
      <c r="H103" s="249"/>
      <c r="I103" s="263">
        <f>+H5</f>
        <v>1859.403751</v>
      </c>
      <c r="J103" s="263"/>
      <c r="K103" s="263"/>
      <c r="L103" s="249"/>
      <c r="M103" s="249"/>
      <c r="N103" s="249"/>
      <c r="O103" s="249"/>
      <c r="P103" s="249"/>
      <c r="Q103" s="263">
        <f>+P5</f>
        <v>1481.28</v>
      </c>
      <c r="R103" s="263"/>
      <c r="S103" s="263"/>
      <c r="T103" s="263"/>
      <c r="U103" s="272"/>
    </row>
    <row r="104" hidden="1" customHeight="1" spans="3:21">
      <c r="C104" s="246" t="s">
        <v>175</v>
      </c>
      <c r="D104" s="250">
        <f>+IF(D103=0,0,D105/D103)</f>
        <v>0</v>
      </c>
      <c r="E104" s="250">
        <f t="shared" ref="E104:S104" si="21">+IF(E103=0,0,E105/E103)</f>
        <v>0</v>
      </c>
      <c r="F104" s="250">
        <f t="shared" si="21"/>
        <v>0</v>
      </c>
      <c r="G104" s="250">
        <f t="shared" si="21"/>
        <v>0</v>
      </c>
      <c r="H104" s="250">
        <f t="shared" si="21"/>
        <v>0</v>
      </c>
      <c r="I104" s="264">
        <f t="shared" si="21"/>
        <v>0.035888182903585</v>
      </c>
      <c r="J104" s="264">
        <f t="shared" si="21"/>
        <v>0</v>
      </c>
      <c r="K104" s="264">
        <f t="shared" si="21"/>
        <v>0</v>
      </c>
      <c r="L104" s="250">
        <f t="shared" si="21"/>
        <v>0</v>
      </c>
      <c r="M104" s="250">
        <f t="shared" si="21"/>
        <v>0</v>
      </c>
      <c r="N104" s="250">
        <f t="shared" si="21"/>
        <v>0</v>
      </c>
      <c r="O104" s="250">
        <f t="shared" si="21"/>
        <v>0</v>
      </c>
      <c r="P104" s="250">
        <f t="shared" si="21"/>
        <v>0</v>
      </c>
      <c r="Q104" s="264">
        <f t="shared" si="21"/>
        <v>0.0367530784186649</v>
      </c>
      <c r="R104" s="264">
        <f t="shared" si="21"/>
        <v>0</v>
      </c>
      <c r="S104" s="264">
        <f t="shared" si="21"/>
        <v>0</v>
      </c>
      <c r="T104" s="264"/>
      <c r="U104" s="273">
        <f>+IF(U103=0,0,U105/U103)</f>
        <v>0</v>
      </c>
    </row>
    <row r="105" hidden="1" customHeight="1" spans="3:21">
      <c r="C105" s="246" t="s">
        <v>176</v>
      </c>
      <c r="D105" s="249">
        <f t="shared" ref="D105:S105" si="22">IF(D103&lt;=200,D103*0.045,IF(D103&lt;=500,9+(D103-200)*11.9/300,IF(D103&lt;=1000,20.9+(D103-500)*17.9/500,IF(D103&lt;=3000,38.8+(D103-1000)*65/2000,IF(D103&lt;=5000,103.8+(D103-3000)*60.1/2000,IF(D103&lt;=8000,163.9+(D103-5000)*85.7/3000,IF(D103&lt;=10000,249.6+(D103-8000)*55.2/2000,IF(D103&lt;=20000,304.8+(D103-10000)*262/10000,0))))))))+IF(D103&gt;=600000,11897.5+(D103-600000)*3493.9/200000,IF(D103&gt;=400000,8276.7+(D103-400000)*3620.8/200000,IF(D103&gt;=200000,4450.8+(D103-200000)*3825.9/200000,IF(D103&gt;=100000,2393.4+(D103-100000)*2057.4/100000,IF(D103&gt;=80000,1960.1+(D103-80000)*433.3/20000,IF(D103&gt;=60000,1515.2+(D103-60000)*444.9/20000,IF(D103&gt;=40000,1054+(D103-40000)*461.2/20000,IF(D103&gt;20000,566.8+(D103-20000)*487.2/20000,0))))))))</f>
        <v>0</v>
      </c>
      <c r="E105" s="249">
        <f t="shared" si="22"/>
        <v>0</v>
      </c>
      <c r="F105" s="249">
        <f t="shared" si="22"/>
        <v>0</v>
      </c>
      <c r="G105" s="249">
        <f t="shared" si="22"/>
        <v>0</v>
      </c>
      <c r="H105" s="249">
        <f t="shared" si="22"/>
        <v>0</v>
      </c>
      <c r="I105" s="263">
        <f t="shared" si="22"/>
        <v>66.7306219075</v>
      </c>
      <c r="J105" s="263">
        <f t="shared" si="22"/>
        <v>0</v>
      </c>
      <c r="K105" s="263">
        <f t="shared" si="22"/>
        <v>0</v>
      </c>
      <c r="L105" s="249">
        <f t="shared" si="22"/>
        <v>0</v>
      </c>
      <c r="M105" s="249">
        <f t="shared" si="22"/>
        <v>0</v>
      </c>
      <c r="N105" s="249">
        <f t="shared" si="22"/>
        <v>0</v>
      </c>
      <c r="O105" s="249">
        <f t="shared" si="22"/>
        <v>0</v>
      </c>
      <c r="P105" s="249">
        <f t="shared" si="22"/>
        <v>0</v>
      </c>
      <c r="Q105" s="263">
        <f t="shared" si="22"/>
        <v>54.4416</v>
      </c>
      <c r="R105" s="263">
        <f t="shared" si="22"/>
        <v>0</v>
      </c>
      <c r="S105" s="263">
        <f t="shared" si="22"/>
        <v>0</v>
      </c>
      <c r="T105" s="263"/>
      <c r="U105" s="272">
        <f>IF(U103&lt;=200,U103*0.045,IF(U103&lt;=500,9+(U103-200)*11.9/300,IF(U103&lt;=1000,20.9+(U103-500)*17.9/500,IF(U103&lt;=3000,38.8+(U103-1000)*65/2000,IF(U103&lt;=5000,103.8+(U103-3000)*60.1/2000,IF(U103&lt;=8000,163.9+(U103-5000)*85.7/3000,IF(U103&lt;=10000,249.6+(U103-8000)*55.2/2000,IF(U103&lt;=20000,304.8+(U103-10000)*262/10000,0))))))))+IF(U103&gt;=600000,11897.5+(U103-600000)*3493.9/200000,IF(U103&gt;=400000,8276.7+(U103-400000)*3620.8/200000,IF(U103&gt;=200000,4450.8+(U103-200000)*3825.9/200000,IF(U103&gt;=100000,2393.4+(U103-100000)*2057.4/100000,IF(U103&gt;=80000,1960.1+(U103-80000)*433.3/20000,IF(U103&gt;=60000,1515.2+(U103-60000)*444.9/20000,IF(U103&gt;=40000,1054+(U103-40000)*461.2/20000,IF(U103&gt;20000,566.8+(U103-20000)*487.2/20000,0))))))))</f>
        <v>0</v>
      </c>
    </row>
    <row r="106" hidden="1" customHeight="1" spans="3:21">
      <c r="C106" s="246" t="s">
        <v>177</v>
      </c>
      <c r="D106" s="249">
        <v>0.9</v>
      </c>
      <c r="E106" s="249">
        <v>1.1</v>
      </c>
      <c r="F106" s="249">
        <v>1</v>
      </c>
      <c r="G106" s="249">
        <v>1</v>
      </c>
      <c r="H106" s="249">
        <v>0.9</v>
      </c>
      <c r="I106" s="263">
        <v>1.1</v>
      </c>
      <c r="J106" s="263">
        <v>0.9</v>
      </c>
      <c r="K106" s="263">
        <v>0.9</v>
      </c>
      <c r="L106" s="249">
        <v>0.9</v>
      </c>
      <c r="M106" s="249">
        <v>1.1</v>
      </c>
      <c r="N106" s="249">
        <v>1</v>
      </c>
      <c r="O106" s="249">
        <v>1</v>
      </c>
      <c r="P106" s="249">
        <v>0.9</v>
      </c>
      <c r="Q106" s="263">
        <v>1.1</v>
      </c>
      <c r="R106" s="263">
        <v>0.9</v>
      </c>
      <c r="S106" s="263">
        <v>0.9</v>
      </c>
      <c r="T106" s="263"/>
      <c r="U106" s="272">
        <v>1.1</v>
      </c>
    </row>
    <row r="107" hidden="1" customHeight="1" spans="3:21">
      <c r="C107" s="246" t="s">
        <v>159</v>
      </c>
      <c r="D107" s="249">
        <v>0.9</v>
      </c>
      <c r="E107" s="249">
        <v>1</v>
      </c>
      <c r="F107" s="249">
        <v>1</v>
      </c>
      <c r="G107" s="249">
        <v>1.15</v>
      </c>
      <c r="H107" s="249">
        <f>+D107</f>
        <v>0.9</v>
      </c>
      <c r="I107" s="263">
        <v>1</v>
      </c>
      <c r="J107" s="263">
        <v>0.9</v>
      </c>
      <c r="K107" s="263">
        <v>0.9</v>
      </c>
      <c r="L107" s="249">
        <v>0.9</v>
      </c>
      <c r="M107" s="249">
        <v>1</v>
      </c>
      <c r="N107" s="249">
        <v>1</v>
      </c>
      <c r="O107" s="249">
        <v>1.15</v>
      </c>
      <c r="P107" s="249">
        <f>+L107</f>
        <v>0.9</v>
      </c>
      <c r="Q107" s="263">
        <v>1</v>
      </c>
      <c r="R107" s="263">
        <v>0.9</v>
      </c>
      <c r="S107" s="263">
        <v>0.9</v>
      </c>
      <c r="T107" s="263"/>
      <c r="U107" s="272">
        <v>0.85</v>
      </c>
    </row>
    <row r="108" hidden="1" customHeight="1" spans="3:21">
      <c r="C108" s="246" t="s">
        <v>178</v>
      </c>
      <c r="D108" s="249">
        <v>1.4</v>
      </c>
      <c r="E108" s="249">
        <v>1</v>
      </c>
      <c r="F108" s="249">
        <v>1</v>
      </c>
      <c r="G108" s="249">
        <v>1</v>
      </c>
      <c r="H108" s="249">
        <v>1.4</v>
      </c>
      <c r="I108" s="263">
        <v>1.15</v>
      </c>
      <c r="J108" s="263">
        <v>1</v>
      </c>
      <c r="K108" s="263">
        <v>1</v>
      </c>
      <c r="L108" s="249">
        <v>1.4</v>
      </c>
      <c r="M108" s="249">
        <v>1</v>
      </c>
      <c r="N108" s="249">
        <v>1</v>
      </c>
      <c r="O108" s="249">
        <v>1</v>
      </c>
      <c r="P108" s="249">
        <v>1.4</v>
      </c>
      <c r="Q108" s="263">
        <v>1.15</v>
      </c>
      <c r="R108" s="263">
        <v>1</v>
      </c>
      <c r="S108" s="263">
        <v>1</v>
      </c>
      <c r="T108" s="263"/>
      <c r="U108" s="272">
        <v>1</v>
      </c>
    </row>
    <row r="109" hidden="1" customHeight="1" spans="3:21">
      <c r="C109" s="246" t="s">
        <v>62</v>
      </c>
      <c r="D109" s="251">
        <f>D105*D106*D107*D108</f>
        <v>0</v>
      </c>
      <c r="E109" s="251">
        <f t="shared" ref="E109:S109" si="23">E105*E106*E107*E108</f>
        <v>0</v>
      </c>
      <c r="F109" s="251">
        <f t="shared" si="23"/>
        <v>0</v>
      </c>
      <c r="G109" s="251">
        <f t="shared" si="23"/>
        <v>0</v>
      </c>
      <c r="H109" s="251">
        <f t="shared" si="23"/>
        <v>0</v>
      </c>
      <c r="I109" s="265">
        <f t="shared" si="23"/>
        <v>84.4142367129875</v>
      </c>
      <c r="J109" s="265">
        <f t="shared" si="23"/>
        <v>0</v>
      </c>
      <c r="K109" s="265">
        <f t="shared" si="23"/>
        <v>0</v>
      </c>
      <c r="L109" s="251">
        <f t="shared" si="23"/>
        <v>0</v>
      </c>
      <c r="M109" s="251">
        <f t="shared" si="23"/>
        <v>0</v>
      </c>
      <c r="N109" s="251">
        <f t="shared" si="23"/>
        <v>0</v>
      </c>
      <c r="O109" s="251">
        <f t="shared" si="23"/>
        <v>0</v>
      </c>
      <c r="P109" s="251">
        <f t="shared" si="23"/>
        <v>0</v>
      </c>
      <c r="Q109" s="265">
        <f t="shared" si="23"/>
        <v>68.868624</v>
      </c>
      <c r="R109" s="265">
        <f t="shared" si="23"/>
        <v>0</v>
      </c>
      <c r="S109" s="265">
        <f t="shared" si="23"/>
        <v>0</v>
      </c>
      <c r="T109" s="265"/>
      <c r="U109" s="274">
        <f>U105*U106*U107*U108</f>
        <v>0</v>
      </c>
    </row>
    <row r="110" hidden="1" customHeight="1" spans="3:21">
      <c r="C110" s="246" t="s">
        <v>21</v>
      </c>
      <c r="D110" s="252">
        <f>SUM(D103:U103)</f>
        <v>3340.683751</v>
      </c>
      <c r="E110" s="253"/>
      <c r="F110" s="253"/>
      <c r="G110" s="253"/>
      <c r="H110" s="253">
        <f>SUM(D109:U109)</f>
        <v>153.282860712987</v>
      </c>
      <c r="I110" s="266"/>
      <c r="J110" s="266"/>
      <c r="K110" s="266"/>
      <c r="L110" s="252">
        <f>SUM(L103:AC103)</f>
        <v>1481.28</v>
      </c>
      <c r="M110" s="253"/>
      <c r="N110" s="253"/>
      <c r="O110" s="253"/>
      <c r="P110" s="253">
        <f>SUM(L109:AC109)</f>
        <v>68.868624</v>
      </c>
      <c r="Q110" s="266"/>
      <c r="R110" s="266"/>
      <c r="S110" s="266"/>
      <c r="T110" s="266"/>
      <c r="U110" s="273">
        <f>+H110/D110</f>
        <v>0.0458836789525808</v>
      </c>
    </row>
    <row r="111" hidden="1" customHeight="1" spans="3:18">
      <c r="C111" s="254"/>
      <c r="D111" s="184"/>
      <c r="E111" s="184"/>
      <c r="F111" s="184"/>
      <c r="G111" s="184"/>
      <c r="H111" s="184"/>
      <c r="I111" s="189"/>
      <c r="J111" s="189"/>
      <c r="L111" s="184"/>
      <c r="M111" s="184"/>
      <c r="N111" s="184"/>
      <c r="O111" s="184"/>
      <c r="P111" s="184"/>
      <c r="Q111" s="189"/>
      <c r="R111" s="189"/>
    </row>
    <row r="112" hidden="1" customHeight="1" spans="3:21">
      <c r="C112" s="246" t="s">
        <v>167</v>
      </c>
      <c r="D112" s="247" t="str">
        <f>+D102</f>
        <v>道路工程</v>
      </c>
      <c r="E112" s="247" t="str">
        <f t="shared" ref="E112:L113" si="24">+E102</f>
        <v>桥涵工程</v>
      </c>
      <c r="F112" s="247" t="str">
        <f t="shared" si="24"/>
        <v>公用管线</v>
      </c>
      <c r="G112" s="247" t="str">
        <f t="shared" si="24"/>
        <v>排水工程</v>
      </c>
      <c r="H112" s="248" t="str">
        <f t="shared" si="24"/>
        <v>附属工程</v>
      </c>
      <c r="I112" s="262" t="str">
        <f t="shared" si="24"/>
        <v>景观工程</v>
      </c>
      <c r="J112" s="262">
        <f t="shared" si="24"/>
        <v>0</v>
      </c>
      <c r="K112" s="262" t="str">
        <f t="shared" si="24"/>
        <v>建筑工程</v>
      </c>
      <c r="L112" s="247" t="str">
        <f t="shared" ref="L112:S112" si="25">+L102</f>
        <v>道路工程</v>
      </c>
      <c r="M112" s="247" t="str">
        <f t="shared" si="25"/>
        <v>桥涵工程</v>
      </c>
      <c r="N112" s="247" t="str">
        <f t="shared" si="25"/>
        <v>公用管线</v>
      </c>
      <c r="O112" s="247" t="str">
        <f t="shared" si="25"/>
        <v>排水工程</v>
      </c>
      <c r="P112" s="248" t="str">
        <f t="shared" si="25"/>
        <v>附属工程</v>
      </c>
      <c r="Q112" s="262" t="str">
        <f t="shared" si="25"/>
        <v>景观工程</v>
      </c>
      <c r="R112" s="262">
        <f t="shared" si="25"/>
        <v>0</v>
      </c>
      <c r="S112" s="262" t="str">
        <f t="shared" si="25"/>
        <v>建筑工程</v>
      </c>
      <c r="T112" s="262"/>
      <c r="U112" s="271" t="str">
        <f>+U102</f>
        <v>水运工程</v>
      </c>
    </row>
    <row r="113" hidden="1" customHeight="1" spans="3:21">
      <c r="C113" s="246" t="s">
        <v>174</v>
      </c>
      <c r="D113" s="249">
        <f>+D103</f>
        <v>0</v>
      </c>
      <c r="E113" s="249">
        <f t="shared" si="24"/>
        <v>0</v>
      </c>
      <c r="F113" s="249">
        <f t="shared" si="24"/>
        <v>0</v>
      </c>
      <c r="G113" s="249">
        <f>+G103</f>
        <v>0</v>
      </c>
      <c r="H113" s="249">
        <f t="shared" si="24"/>
        <v>0</v>
      </c>
      <c r="I113" s="263">
        <f t="shared" si="24"/>
        <v>1859.403751</v>
      </c>
      <c r="J113" s="263">
        <f t="shared" si="24"/>
        <v>0</v>
      </c>
      <c r="K113" s="263">
        <f t="shared" si="24"/>
        <v>0</v>
      </c>
      <c r="L113" s="249">
        <f t="shared" ref="L113:S113" si="26">+L103</f>
        <v>0</v>
      </c>
      <c r="M113" s="249">
        <f t="shared" si="26"/>
        <v>0</v>
      </c>
      <c r="N113" s="249">
        <f t="shared" si="26"/>
        <v>0</v>
      </c>
      <c r="O113" s="249">
        <f t="shared" si="26"/>
        <v>0</v>
      </c>
      <c r="P113" s="249">
        <f t="shared" si="26"/>
        <v>0</v>
      </c>
      <c r="Q113" s="263">
        <f t="shared" si="26"/>
        <v>1481.28</v>
      </c>
      <c r="R113" s="263">
        <f t="shared" si="26"/>
        <v>0</v>
      </c>
      <c r="S113" s="263">
        <f t="shared" si="26"/>
        <v>0</v>
      </c>
      <c r="T113" s="263"/>
      <c r="U113" s="272">
        <f>+U103</f>
        <v>0</v>
      </c>
    </row>
    <row r="114" hidden="1" customHeight="1" spans="3:21">
      <c r="C114" s="246" t="s">
        <v>179</v>
      </c>
      <c r="D114" s="250">
        <f t="shared" ref="D114:S114" si="27">+IF(D113=0,0,D115/D113)</f>
        <v>0</v>
      </c>
      <c r="E114" s="250">
        <f t="shared" si="27"/>
        <v>0</v>
      </c>
      <c r="F114" s="250">
        <f t="shared" si="27"/>
        <v>0</v>
      </c>
      <c r="G114" s="250">
        <f t="shared" si="27"/>
        <v>0</v>
      </c>
      <c r="H114" s="250">
        <f t="shared" si="27"/>
        <v>0</v>
      </c>
      <c r="I114" s="264">
        <f t="shared" si="27"/>
        <v>0.0272806215415664</v>
      </c>
      <c r="J114" s="264">
        <f t="shared" si="27"/>
        <v>0</v>
      </c>
      <c r="K114" s="264">
        <f t="shared" si="27"/>
        <v>0</v>
      </c>
      <c r="L114" s="250">
        <f t="shared" si="27"/>
        <v>0</v>
      </c>
      <c r="M114" s="250">
        <f t="shared" si="27"/>
        <v>0</v>
      </c>
      <c r="N114" s="250">
        <f t="shared" si="27"/>
        <v>0</v>
      </c>
      <c r="O114" s="250">
        <f t="shared" si="27"/>
        <v>0</v>
      </c>
      <c r="P114" s="250">
        <f t="shared" si="27"/>
        <v>0</v>
      </c>
      <c r="Q114" s="264">
        <f t="shared" si="27"/>
        <v>0.0281180600561676</v>
      </c>
      <c r="R114" s="264">
        <f t="shared" si="27"/>
        <v>0</v>
      </c>
      <c r="S114" s="264">
        <f t="shared" si="27"/>
        <v>0</v>
      </c>
      <c r="T114" s="264"/>
      <c r="U114" s="273">
        <f>+IF(U113=0,0,U115/U113)</f>
        <v>0</v>
      </c>
    </row>
    <row r="115" hidden="1" customHeight="1" spans="3:21">
      <c r="C115" s="246" t="s">
        <v>180</v>
      </c>
      <c r="D115" s="249">
        <f t="shared" ref="D115:S115" si="28">IF(D113&lt;=500,D113*3.3%,IF(D113&lt;=1000,16.5+(D113-500)*13.6/500,IF(D113&lt;=3000,30.1+(D113-1000)*48/2000,IF(D113&lt;=5000,78.1+(D113-3000)*42.7/2000,IF(D113&lt;=8000,120.8+(D113-5000)*60.2/3000,IF(D113&lt;=10000,181+(D113-8000)*37.6/2000,IF(D113&lt;=20000,218.6+(D113-10000)*174.8/10000,IF(D113&lt;=40000,393.4+(D113-20000)*314.8/20000,0))))))))+IF(D113&gt;=800000,8658.4+(D113-800000)*1731.7/200000,IF(D113&gt;=600000,6835.6+(D113-600000)*1822.8/200000,IF(D113&gt;=400000,4882.6+(D113-400000)*1953/200000,IF(D113&gt;=200000,2712.5+(D113-200000)*2170.1/200000,IF(D113&gt;=100000,1507+(D113-100000)*1205.5/100000,IF(D113&gt;=80000,1255.8+(D113-80000)*251.2/20000,IF(D113&gt;=60000,991.4+(D113-60000)*264.4/20000,IF(D113&gt;40000,708.2+(D113-40000)*283.2/20000,))))))))</f>
        <v>0</v>
      </c>
      <c r="E115" s="249">
        <f t="shared" si="28"/>
        <v>0</v>
      </c>
      <c r="F115" s="249">
        <f t="shared" si="28"/>
        <v>0</v>
      </c>
      <c r="G115" s="249">
        <f t="shared" si="28"/>
        <v>0</v>
      </c>
      <c r="H115" s="249">
        <f t="shared" si="28"/>
        <v>0</v>
      </c>
      <c r="I115" s="263">
        <f t="shared" si="28"/>
        <v>50.725690024</v>
      </c>
      <c r="J115" s="263">
        <f t="shared" si="28"/>
        <v>0</v>
      </c>
      <c r="K115" s="263">
        <f t="shared" si="28"/>
        <v>0</v>
      </c>
      <c r="L115" s="249">
        <f t="shared" si="28"/>
        <v>0</v>
      </c>
      <c r="M115" s="249">
        <f t="shared" si="28"/>
        <v>0</v>
      </c>
      <c r="N115" s="249">
        <f t="shared" si="28"/>
        <v>0</v>
      </c>
      <c r="O115" s="249">
        <f t="shared" si="28"/>
        <v>0</v>
      </c>
      <c r="P115" s="249">
        <f t="shared" si="28"/>
        <v>0</v>
      </c>
      <c r="Q115" s="263">
        <f t="shared" si="28"/>
        <v>41.65072</v>
      </c>
      <c r="R115" s="263">
        <f t="shared" si="28"/>
        <v>0</v>
      </c>
      <c r="S115" s="263">
        <f t="shared" si="28"/>
        <v>0</v>
      </c>
      <c r="T115" s="263"/>
      <c r="U115" s="272">
        <f>IF(U113&lt;=500,U113*3.3%,IF(U113&lt;=1000,16.5+(U113-500)*13.6/500,IF(U113&lt;=3000,30.1+(U113-1000)*48/2000,IF(U113&lt;=5000,78.1+(U113-3000)*42.7/2000,IF(U113&lt;=8000,120.8+(U113-5000)*60.2/3000,IF(U113&lt;=10000,181+(U113-8000)*37.6/2000,IF(U113&lt;=20000,218.6+(U113-10000)*174.8/10000,IF(U113&lt;=40000,393.4+(U113-20000)*314.8/20000,0))))))))+IF(U113&gt;=800000,8658.4+(U113-800000)*1731.7/200000,IF(U113&gt;=600000,6835.6+(U113-600000)*1822.8/200000,IF(U113&gt;=400000,4882.6+(U113-400000)*1953/200000,IF(U113&gt;=200000,2712.5+(U113-200000)*2170.1/200000,IF(U113&gt;=100000,1507+(U113-100000)*1205.5/100000,IF(U113&gt;=80000,1255.8+(U113-80000)*251.2/20000,IF(U113&gt;=60000,991.4+(U113-60000)*264.4/20000,IF(U113&gt;40000,708.2+(U113-40000)*283.2/20000,))))))))</f>
        <v>0</v>
      </c>
    </row>
    <row r="116" hidden="1" customHeight="1" spans="3:21">
      <c r="C116" s="246" t="s">
        <v>177</v>
      </c>
      <c r="D116" s="249">
        <f>+D106</f>
        <v>0.9</v>
      </c>
      <c r="E116" s="249">
        <f>+E106</f>
        <v>1.1</v>
      </c>
      <c r="F116" s="249">
        <f>+F106</f>
        <v>1</v>
      </c>
      <c r="G116" s="249">
        <f t="shared" ref="G116:P116" si="29">+G106</f>
        <v>1</v>
      </c>
      <c r="H116" s="249">
        <f t="shared" si="29"/>
        <v>0.9</v>
      </c>
      <c r="I116" s="263">
        <v>0.8</v>
      </c>
      <c r="J116" s="263">
        <f t="shared" ref="J116:L118" si="30">+J106</f>
        <v>0.9</v>
      </c>
      <c r="K116" s="263">
        <f t="shared" si="30"/>
        <v>0.9</v>
      </c>
      <c r="L116" s="249">
        <f t="shared" si="29"/>
        <v>0.9</v>
      </c>
      <c r="M116" s="249">
        <f t="shared" si="29"/>
        <v>1.1</v>
      </c>
      <c r="N116" s="249">
        <f t="shared" si="29"/>
        <v>1</v>
      </c>
      <c r="O116" s="249">
        <f t="shared" si="29"/>
        <v>1</v>
      </c>
      <c r="P116" s="249">
        <f t="shared" si="29"/>
        <v>0.9</v>
      </c>
      <c r="Q116" s="263">
        <v>0.8</v>
      </c>
      <c r="R116" s="263">
        <f>+R106</f>
        <v>0.9</v>
      </c>
      <c r="S116" s="263">
        <f>+S106</f>
        <v>0.9</v>
      </c>
      <c r="T116" s="263"/>
      <c r="U116" s="272">
        <f>+U106</f>
        <v>1.1</v>
      </c>
    </row>
    <row r="117" hidden="1" customHeight="1" spans="3:21">
      <c r="C117" s="246" t="s">
        <v>159</v>
      </c>
      <c r="D117" s="249">
        <v>1</v>
      </c>
      <c r="E117" s="249">
        <v>1</v>
      </c>
      <c r="F117" s="249">
        <v>1</v>
      </c>
      <c r="G117" s="249">
        <v>1</v>
      </c>
      <c r="H117" s="249">
        <f>+H107</f>
        <v>0.9</v>
      </c>
      <c r="I117" s="263">
        <v>1</v>
      </c>
      <c r="J117" s="263">
        <f t="shared" si="30"/>
        <v>0.9</v>
      </c>
      <c r="K117" s="263">
        <f t="shared" si="30"/>
        <v>0.9</v>
      </c>
      <c r="L117" s="249">
        <v>1</v>
      </c>
      <c r="M117" s="249">
        <v>1</v>
      </c>
      <c r="N117" s="249">
        <v>1</v>
      </c>
      <c r="O117" s="249">
        <v>1</v>
      </c>
      <c r="P117" s="249">
        <f t="shared" ref="P117:S117" si="31">+P107</f>
        <v>0.9</v>
      </c>
      <c r="Q117" s="263">
        <v>1</v>
      </c>
      <c r="R117" s="263">
        <f t="shared" si="31"/>
        <v>0.9</v>
      </c>
      <c r="S117" s="263">
        <f t="shared" si="31"/>
        <v>0.9</v>
      </c>
      <c r="T117" s="263"/>
      <c r="U117" s="272">
        <f>+U107</f>
        <v>0.85</v>
      </c>
    </row>
    <row r="118" hidden="1" customHeight="1" spans="3:21">
      <c r="C118" s="246" t="s">
        <v>178</v>
      </c>
      <c r="D118" s="249">
        <f t="shared" ref="D118:I118" si="32">+D108</f>
        <v>1.4</v>
      </c>
      <c r="E118" s="249">
        <f t="shared" si="32"/>
        <v>1</v>
      </c>
      <c r="F118" s="249">
        <f t="shared" si="32"/>
        <v>1</v>
      </c>
      <c r="G118" s="249">
        <f t="shared" si="32"/>
        <v>1</v>
      </c>
      <c r="H118" s="249">
        <f t="shared" si="32"/>
        <v>1.4</v>
      </c>
      <c r="I118" s="263">
        <f t="shared" si="32"/>
        <v>1.15</v>
      </c>
      <c r="J118" s="263">
        <f t="shared" si="30"/>
        <v>1</v>
      </c>
      <c r="K118" s="263">
        <f t="shared" si="30"/>
        <v>1</v>
      </c>
      <c r="L118" s="249">
        <f t="shared" ref="L118:S118" si="33">+L108</f>
        <v>1.4</v>
      </c>
      <c r="M118" s="249">
        <f t="shared" si="33"/>
        <v>1</v>
      </c>
      <c r="N118" s="249">
        <f t="shared" si="33"/>
        <v>1</v>
      </c>
      <c r="O118" s="249">
        <f t="shared" si="33"/>
        <v>1</v>
      </c>
      <c r="P118" s="249">
        <f t="shared" si="33"/>
        <v>1.4</v>
      </c>
      <c r="Q118" s="263">
        <f t="shared" si="33"/>
        <v>1.15</v>
      </c>
      <c r="R118" s="263">
        <f t="shared" si="33"/>
        <v>1</v>
      </c>
      <c r="S118" s="263">
        <f t="shared" si="33"/>
        <v>1</v>
      </c>
      <c r="T118" s="263"/>
      <c r="U118" s="272">
        <f>+U108</f>
        <v>1</v>
      </c>
    </row>
    <row r="119" hidden="1" customHeight="1" spans="3:21">
      <c r="C119" s="246" t="s">
        <v>181</v>
      </c>
      <c r="D119" s="251">
        <f>D115*D116*D117*D118</f>
        <v>0</v>
      </c>
      <c r="E119" s="251">
        <f t="shared" ref="E119:S119" si="34">E115*E116*E117*E118</f>
        <v>0</v>
      </c>
      <c r="F119" s="251">
        <f t="shared" si="34"/>
        <v>0</v>
      </c>
      <c r="G119" s="251">
        <f t="shared" si="34"/>
        <v>0</v>
      </c>
      <c r="H119" s="251">
        <f t="shared" si="34"/>
        <v>0</v>
      </c>
      <c r="I119" s="265">
        <f t="shared" si="34"/>
        <v>46.66763482208</v>
      </c>
      <c r="J119" s="265">
        <f t="shared" si="34"/>
        <v>0</v>
      </c>
      <c r="K119" s="265">
        <f t="shared" si="34"/>
        <v>0</v>
      </c>
      <c r="L119" s="251">
        <f t="shared" si="34"/>
        <v>0</v>
      </c>
      <c r="M119" s="251">
        <f t="shared" si="34"/>
        <v>0</v>
      </c>
      <c r="N119" s="251">
        <f t="shared" si="34"/>
        <v>0</v>
      </c>
      <c r="O119" s="251">
        <f t="shared" si="34"/>
        <v>0</v>
      </c>
      <c r="P119" s="251">
        <f t="shared" si="34"/>
        <v>0</v>
      </c>
      <c r="Q119" s="265">
        <f t="shared" si="34"/>
        <v>38.3186624</v>
      </c>
      <c r="R119" s="265">
        <f t="shared" si="34"/>
        <v>0</v>
      </c>
      <c r="S119" s="265">
        <f t="shared" si="34"/>
        <v>0</v>
      </c>
      <c r="T119" s="265"/>
      <c r="U119" s="274">
        <f>U115*U116*U117*U118</f>
        <v>0</v>
      </c>
    </row>
    <row r="120" hidden="1" customHeight="1" spans="3:21">
      <c r="C120" s="246" t="s">
        <v>21</v>
      </c>
      <c r="D120" s="252">
        <f>SUM(D113:U113)</f>
        <v>3340.683751</v>
      </c>
      <c r="E120" s="253"/>
      <c r="F120" s="253"/>
      <c r="G120" s="253"/>
      <c r="H120" s="253">
        <f>SUM(D119:U119)</f>
        <v>84.98629722208</v>
      </c>
      <c r="I120" s="266"/>
      <c r="J120" s="266"/>
      <c r="K120" s="266"/>
      <c r="L120" s="252">
        <f>SUM(L113:AC113)</f>
        <v>1481.28</v>
      </c>
      <c r="M120" s="253"/>
      <c r="N120" s="253"/>
      <c r="O120" s="253"/>
      <c r="P120" s="253">
        <f>SUM(L119:AC119)</f>
        <v>38.3186624</v>
      </c>
      <c r="Q120" s="266"/>
      <c r="R120" s="266"/>
      <c r="S120" s="266"/>
      <c r="T120" s="266"/>
      <c r="U120" s="273">
        <f>+H120/D120</f>
        <v>0.0254397912393354</v>
      </c>
    </row>
    <row r="121" hidden="1" customHeight="1" spans="8:21">
      <c r="H121" s="255"/>
      <c r="I121" s="267"/>
      <c r="J121" s="267"/>
      <c r="K121" s="267"/>
      <c r="P121" s="255"/>
      <c r="Q121" s="267"/>
      <c r="R121" s="267"/>
      <c r="S121" s="267"/>
      <c r="T121" s="267"/>
      <c r="U121" s="275"/>
    </row>
    <row r="122" hidden="1" customHeight="1" spans="8:21">
      <c r="H122" s="255"/>
      <c r="I122" s="267"/>
      <c r="J122" s="267"/>
      <c r="K122" s="267"/>
      <c r="P122" s="255"/>
      <c r="Q122" s="267"/>
      <c r="R122" s="267"/>
      <c r="S122" s="267"/>
      <c r="T122" s="267"/>
      <c r="U122" s="275"/>
    </row>
    <row r="123" hidden="1" customHeight="1" spans="3:20">
      <c r="C123" s="256"/>
      <c r="D123" s="257" t="s">
        <v>182</v>
      </c>
      <c r="E123" s="258"/>
      <c r="F123" s="258"/>
      <c r="G123" s="257"/>
      <c r="H123" s="258"/>
      <c r="I123" s="268"/>
      <c r="J123" s="269"/>
      <c r="K123" s="270">
        <v>0.049</v>
      </c>
      <c r="L123" s="257" t="s">
        <v>182</v>
      </c>
      <c r="M123" s="258"/>
      <c r="N123" s="258"/>
      <c r="O123" s="257"/>
      <c r="P123" s="258"/>
      <c r="Q123" s="268"/>
      <c r="R123" s="269"/>
      <c r="S123" s="270">
        <v>0.049</v>
      </c>
      <c r="T123" s="276"/>
    </row>
    <row r="124" hidden="1" customHeight="1" spans="3:20">
      <c r="C124" s="256"/>
      <c r="D124" s="249">
        <f>H42*0.7</f>
        <v>1665.37216575148</v>
      </c>
      <c r="E124" s="249">
        <f>+D124*E123</f>
        <v>0</v>
      </c>
      <c r="F124" s="249">
        <f>+D124*F123</f>
        <v>0</v>
      </c>
      <c r="G124" s="257"/>
      <c r="H124" s="257"/>
      <c r="I124" s="269"/>
      <c r="J124" s="269"/>
      <c r="K124" s="263"/>
      <c r="L124" s="249">
        <f>P42*0.7</f>
        <v>1230.04</v>
      </c>
      <c r="M124" s="249">
        <f>+L124*M123</f>
        <v>0</v>
      </c>
      <c r="N124" s="249">
        <f>+L124*N123</f>
        <v>0</v>
      </c>
      <c r="O124" s="257"/>
      <c r="P124" s="257"/>
      <c r="Q124" s="269"/>
      <c r="R124" s="269"/>
      <c r="S124" s="263"/>
      <c r="T124" s="277"/>
    </row>
    <row r="125" hidden="1" customHeight="1" spans="3:20">
      <c r="C125" s="246"/>
      <c r="D125" s="249"/>
      <c r="E125" s="249">
        <f>+E124/2*K123</f>
        <v>0</v>
      </c>
      <c r="F125" s="249">
        <f>+(E124+F124/2)*K123</f>
        <v>0</v>
      </c>
      <c r="G125" s="257"/>
      <c r="H125" s="257"/>
      <c r="I125" s="269"/>
      <c r="J125" s="269"/>
      <c r="K125" s="263">
        <f>SUM(E125:J125)</f>
        <v>0</v>
      </c>
      <c r="L125" s="249"/>
      <c r="M125" s="249">
        <f>+M124/2*S123</f>
        <v>0</v>
      </c>
      <c r="N125" s="249">
        <f>+(M124+N124/2)*S123</f>
        <v>0</v>
      </c>
      <c r="O125" s="257"/>
      <c r="P125" s="257"/>
      <c r="Q125" s="269"/>
      <c r="R125" s="269"/>
      <c r="S125" s="263">
        <f>SUM(M125:R125)</f>
        <v>0</v>
      </c>
      <c r="T125" s="277"/>
    </row>
    <row r="126" hidden="1" customHeight="1"/>
    <row r="127" hidden="1" customHeight="1"/>
    <row r="128" hidden="1" customHeight="1"/>
    <row r="129" hidden="1" customHeight="1"/>
    <row r="130" hidden="1" customHeight="1" spans="3:14">
      <c r="C130" s="278" t="s">
        <v>106</v>
      </c>
      <c r="D130" s="279"/>
      <c r="E130" s="279">
        <f>+H12</f>
        <v>1859.403751</v>
      </c>
      <c r="F130" s="250">
        <f>+E130/$E$133</f>
        <v>0.781556610868822</v>
      </c>
      <c r="L130" s="279"/>
      <c r="M130" s="279">
        <f>+P12</f>
        <v>1481.28</v>
      </c>
      <c r="N130" s="250">
        <f t="shared" ref="N130:N133" si="35">+M130/$E$133</f>
        <v>0.622621190220332</v>
      </c>
    </row>
    <row r="131" hidden="1" customHeight="1" spans="3:14">
      <c r="C131" s="278" t="s">
        <v>109</v>
      </c>
      <c r="D131" s="279"/>
      <c r="E131" s="279">
        <f>H37</f>
        <v>343.465308120932</v>
      </c>
      <c r="F131" s="250">
        <f t="shared" ref="F131:F133" si="36">+E131/$E$133</f>
        <v>0.144367559773741</v>
      </c>
      <c r="L131" s="279"/>
      <c r="M131" s="279">
        <f>P37</f>
        <v>192.24</v>
      </c>
      <c r="N131" s="250">
        <f t="shared" si="35"/>
        <v>0.0808035601695537</v>
      </c>
    </row>
    <row r="132" hidden="1" customHeight="1" spans="3:14">
      <c r="C132" s="278" t="s">
        <v>112</v>
      </c>
      <c r="D132" s="279"/>
      <c r="E132" s="279">
        <f>H39</f>
        <v>176.229858809763</v>
      </c>
      <c r="F132" s="250">
        <f t="shared" si="36"/>
        <v>0.0740740740741086</v>
      </c>
      <c r="L132" s="279"/>
      <c r="M132" s="279">
        <f>P39</f>
        <v>83.68</v>
      </c>
      <c r="N132" s="250">
        <f t="shared" si="35"/>
        <v>0.0351729188253655</v>
      </c>
    </row>
    <row r="133" hidden="1" customHeight="1" spans="3:14">
      <c r="C133" s="278" t="s">
        <v>115</v>
      </c>
      <c r="D133" s="279"/>
      <c r="E133" s="279">
        <f>H44</f>
        <v>2379.10309393069</v>
      </c>
      <c r="F133" s="250">
        <f t="shared" si="36"/>
        <v>1</v>
      </c>
      <c r="L133" s="279"/>
      <c r="M133" s="279">
        <f>P44</f>
        <v>1757.2</v>
      </c>
      <c r="N133" s="250">
        <f t="shared" si="35"/>
        <v>0.738597669215251</v>
      </c>
    </row>
    <row r="134" hidden="1" customHeight="1"/>
    <row r="135" hidden="1" customHeight="1"/>
    <row r="136" hidden="1" customHeight="1"/>
    <row r="137" hidden="1" customHeight="1"/>
    <row r="138" hidden="1" customHeight="1"/>
    <row r="139" hidden="1" customHeight="1"/>
    <row r="140" hidden="1" customHeight="1"/>
    <row r="141" hidden="1" customHeight="1"/>
    <row r="142" hidden="1" customHeight="1"/>
  </sheetData>
  <mergeCells count="52">
    <mergeCell ref="B1:U1"/>
    <mergeCell ref="D3:H3"/>
    <mergeCell ref="I3:K3"/>
    <mergeCell ref="L3:P3"/>
    <mergeCell ref="Q3:S3"/>
    <mergeCell ref="I14:K14"/>
    <mergeCell ref="Q14:S14"/>
    <mergeCell ref="I15:K15"/>
    <mergeCell ref="Q15:S15"/>
    <mergeCell ref="I16:K16"/>
    <mergeCell ref="Q16:S16"/>
    <mergeCell ref="I17:K17"/>
    <mergeCell ref="Q17:S17"/>
    <mergeCell ref="I18:K18"/>
    <mergeCell ref="Q18:S18"/>
    <mergeCell ref="I19:K19"/>
    <mergeCell ref="Q19:S19"/>
    <mergeCell ref="I20:K20"/>
    <mergeCell ref="Q20:S20"/>
    <mergeCell ref="I21:K21"/>
    <mergeCell ref="Q21:S21"/>
    <mergeCell ref="I22:K22"/>
    <mergeCell ref="Q22:S22"/>
    <mergeCell ref="I23:K23"/>
    <mergeCell ref="Q23:S23"/>
    <mergeCell ref="I24:K24"/>
    <mergeCell ref="Q24:S24"/>
    <mergeCell ref="I25:K25"/>
    <mergeCell ref="Q25:S25"/>
    <mergeCell ref="I26:K26"/>
    <mergeCell ref="Q26:S26"/>
    <mergeCell ref="I27:K27"/>
    <mergeCell ref="Q27:S27"/>
    <mergeCell ref="I28:K28"/>
    <mergeCell ref="Q28:S28"/>
    <mergeCell ref="I29:K29"/>
    <mergeCell ref="Q29:S29"/>
    <mergeCell ref="I30:K30"/>
    <mergeCell ref="Q30:S30"/>
    <mergeCell ref="I31:K31"/>
    <mergeCell ref="Q31:S31"/>
    <mergeCell ref="I32:K32"/>
    <mergeCell ref="Q32:S32"/>
    <mergeCell ref="I33:K33"/>
    <mergeCell ref="Q33:S33"/>
    <mergeCell ref="Q34:S34"/>
    <mergeCell ref="I35:K35"/>
    <mergeCell ref="Q35:S35"/>
    <mergeCell ref="B3:B4"/>
    <mergeCell ref="C3:C4"/>
    <mergeCell ref="T3:T4"/>
    <mergeCell ref="U3:U4"/>
  </mergeCells>
  <conditionalFormatting sqref="V19">
    <cfRule type="cellIs" dxfId="0" priority="8" operator="lessThan">
      <formula>0.03</formula>
    </cfRule>
  </conditionalFormatting>
  <conditionalFormatting sqref="L101:S101">
    <cfRule type="cellIs" dxfId="1" priority="3" stopIfTrue="1" operator="equal">
      <formula>FALSE</formula>
    </cfRule>
  </conditionalFormatting>
  <conditionalFormatting sqref="U110">
    <cfRule type="cellIs" dxfId="0" priority="10" operator="lessThan">
      <formula>0.03</formula>
    </cfRule>
  </conditionalFormatting>
  <conditionalFormatting sqref="V28:V29">
    <cfRule type="cellIs" dxfId="0" priority="6" operator="lessThan">
      <formula>0.03</formula>
    </cfRule>
  </conditionalFormatting>
  <conditionalFormatting sqref="D101:K101 V96 T101:U101">
    <cfRule type="cellIs" dxfId="1" priority="13" stopIfTrue="1" operator="equal">
      <formula>FALSE</formula>
    </cfRule>
  </conditionalFormatting>
  <conditionalFormatting sqref="D104:K105 T114:U114 D114:K114 T104:U105">
    <cfRule type="cellIs" dxfId="2" priority="11" stopIfTrue="1" operator="greaterThanOrEqual">
      <formula>20000</formula>
    </cfRule>
  </conditionalFormatting>
  <conditionalFormatting sqref="L104:S105 L114:S114">
    <cfRule type="cellIs" dxfId="2" priority="1" stopIfTrue="1" operator="greaterThanOrEqual">
      <formula>20000</formula>
    </cfRule>
  </conditionalFormatting>
  <conditionalFormatting sqref="D114:K115 T114:U115">
    <cfRule type="cellIs" dxfId="2" priority="12" stopIfTrue="1" operator="greaterThanOrEqual">
      <formula>40000</formula>
    </cfRule>
  </conditionalFormatting>
  <conditionalFormatting sqref="L114:S115">
    <cfRule type="cellIs" dxfId="2" priority="2" stopIfTrue="1" operator="greaterThanOrEqual">
      <formula>40000</formula>
    </cfRule>
  </conditionalFormatting>
  <printOptions horizontalCentered="1"/>
  <pageMargins left="0.432638888888889" right="0.354166666666667" top="0.511805555555556" bottom="0.66875" header="0.314583333333333" footer="0.314583333333333"/>
  <pageSetup paperSize="9" scale="79" orientation="landscape" blackAndWhite="1" horizontalDpi="600"/>
  <headerFooter>
    <oddFooter>&amp;C第 &amp;P 页，共 &amp;N 页</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workbookViewId="0">
      <selection activeCell="A44" sqref="A44"/>
    </sheetView>
  </sheetViews>
  <sheetFormatPr defaultColWidth="9" defaultRowHeight="13.5"/>
  <cols>
    <col min="1" max="1" width="44.375" customWidth="1"/>
  </cols>
  <sheetData>
    <row r="1" spans="1:1">
      <c r="A1" t="s">
        <v>333</v>
      </c>
    </row>
    <row r="4" spans="1:1">
      <c r="A4" t="s">
        <v>334</v>
      </c>
    </row>
    <row r="14" spans="1:1">
      <c r="A14" t="s">
        <v>335</v>
      </c>
    </row>
  </sheetData>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indexed="39"/>
  </sheetPr>
  <dimension ref="B1:H873"/>
  <sheetViews>
    <sheetView showGridLines="0" workbookViewId="0">
      <selection activeCell="F11" sqref="F10:F11"/>
    </sheetView>
  </sheetViews>
  <sheetFormatPr defaultColWidth="9" defaultRowHeight="15.75" outlineLevelCol="7"/>
  <cols>
    <col min="1" max="1" width="3.625" style="80" customWidth="1"/>
    <col min="2" max="2" width="9" style="80"/>
    <col min="3" max="3" width="29.5" style="80" customWidth="1"/>
    <col min="4" max="251" width="9" style="80"/>
    <col min="252" max="252" width="3.625" style="80" customWidth="1"/>
    <col min="253" max="253" width="9" style="80"/>
    <col min="254" max="254" width="29.5" style="80" customWidth="1"/>
    <col min="255" max="507" width="9" style="80"/>
    <col min="508" max="508" width="3.625" style="80" customWidth="1"/>
    <col min="509" max="509" width="9" style="80"/>
    <col min="510" max="510" width="29.5" style="80" customWidth="1"/>
    <col min="511" max="763" width="9" style="80"/>
    <col min="764" max="764" width="3.625" style="80" customWidth="1"/>
    <col min="765" max="765" width="9" style="80"/>
    <col min="766" max="766" width="29.5" style="80" customWidth="1"/>
    <col min="767" max="1019" width="9" style="80"/>
    <col min="1020" max="1020" width="3.625" style="80" customWidth="1"/>
    <col min="1021" max="1021" width="9" style="80"/>
    <col min="1022" max="1022" width="29.5" style="80" customWidth="1"/>
    <col min="1023" max="1275" width="9" style="80"/>
    <col min="1276" max="1276" width="3.625" style="80" customWidth="1"/>
    <col min="1277" max="1277" width="9" style="80"/>
    <col min="1278" max="1278" width="29.5" style="80" customWidth="1"/>
    <col min="1279" max="1531" width="9" style="80"/>
    <col min="1532" max="1532" width="3.625" style="80" customWidth="1"/>
    <col min="1533" max="1533" width="9" style="80"/>
    <col min="1534" max="1534" width="29.5" style="80" customWidth="1"/>
    <col min="1535" max="1787" width="9" style="80"/>
    <col min="1788" max="1788" width="3.625" style="80" customWidth="1"/>
    <col min="1789" max="1789" width="9" style="80"/>
    <col min="1790" max="1790" width="29.5" style="80" customWidth="1"/>
    <col min="1791" max="2043" width="9" style="80"/>
    <col min="2044" max="2044" width="3.625" style="80" customWidth="1"/>
    <col min="2045" max="2045" width="9" style="80"/>
    <col min="2046" max="2046" width="29.5" style="80" customWidth="1"/>
    <col min="2047" max="2299" width="9" style="80"/>
    <col min="2300" max="2300" width="3.625" style="80" customWidth="1"/>
    <col min="2301" max="2301" width="9" style="80"/>
    <col min="2302" max="2302" width="29.5" style="80" customWidth="1"/>
    <col min="2303" max="2555" width="9" style="80"/>
    <col min="2556" max="2556" width="3.625" style="80" customWidth="1"/>
    <col min="2557" max="2557" width="9" style="80"/>
    <col min="2558" max="2558" width="29.5" style="80" customWidth="1"/>
    <col min="2559" max="2811" width="9" style="80"/>
    <col min="2812" max="2812" width="3.625" style="80" customWidth="1"/>
    <col min="2813" max="2813" width="9" style="80"/>
    <col min="2814" max="2814" width="29.5" style="80" customWidth="1"/>
    <col min="2815" max="3067" width="9" style="80"/>
    <col min="3068" max="3068" width="3.625" style="80" customWidth="1"/>
    <col min="3069" max="3069" width="9" style="80"/>
    <col min="3070" max="3070" width="29.5" style="80" customWidth="1"/>
    <col min="3071" max="3323" width="9" style="80"/>
    <col min="3324" max="3324" width="3.625" style="80" customWidth="1"/>
    <col min="3325" max="3325" width="9" style="80"/>
    <col min="3326" max="3326" width="29.5" style="80" customWidth="1"/>
    <col min="3327" max="3579" width="9" style="80"/>
    <col min="3580" max="3580" width="3.625" style="80" customWidth="1"/>
    <col min="3581" max="3581" width="9" style="80"/>
    <col min="3582" max="3582" width="29.5" style="80" customWidth="1"/>
    <col min="3583" max="3835" width="9" style="80"/>
    <col min="3836" max="3836" width="3.625" style="80" customWidth="1"/>
    <col min="3837" max="3837" width="9" style="80"/>
    <col min="3838" max="3838" width="29.5" style="80" customWidth="1"/>
    <col min="3839" max="4091" width="9" style="80"/>
    <col min="4092" max="4092" width="3.625" style="80" customWidth="1"/>
    <col min="4093" max="4093" width="9" style="80"/>
    <col min="4094" max="4094" width="29.5" style="80" customWidth="1"/>
    <col min="4095" max="4347" width="9" style="80"/>
    <col min="4348" max="4348" width="3.625" style="80" customWidth="1"/>
    <col min="4349" max="4349" width="9" style="80"/>
    <col min="4350" max="4350" width="29.5" style="80" customWidth="1"/>
    <col min="4351" max="4603" width="9" style="80"/>
    <col min="4604" max="4604" width="3.625" style="80" customWidth="1"/>
    <col min="4605" max="4605" width="9" style="80"/>
    <col min="4606" max="4606" width="29.5" style="80" customWidth="1"/>
    <col min="4607" max="4859" width="9" style="80"/>
    <col min="4860" max="4860" width="3.625" style="80" customWidth="1"/>
    <col min="4861" max="4861" width="9" style="80"/>
    <col min="4862" max="4862" width="29.5" style="80" customWidth="1"/>
    <col min="4863" max="5115" width="9" style="80"/>
    <col min="5116" max="5116" width="3.625" style="80" customWidth="1"/>
    <col min="5117" max="5117" width="9" style="80"/>
    <col min="5118" max="5118" width="29.5" style="80" customWidth="1"/>
    <col min="5119" max="5371" width="9" style="80"/>
    <col min="5372" max="5372" width="3.625" style="80" customWidth="1"/>
    <col min="5373" max="5373" width="9" style="80"/>
    <col min="5374" max="5374" width="29.5" style="80" customWidth="1"/>
    <col min="5375" max="5627" width="9" style="80"/>
    <col min="5628" max="5628" width="3.625" style="80" customWidth="1"/>
    <col min="5629" max="5629" width="9" style="80"/>
    <col min="5630" max="5630" width="29.5" style="80" customWidth="1"/>
    <col min="5631" max="5883" width="9" style="80"/>
    <col min="5884" max="5884" width="3.625" style="80" customWidth="1"/>
    <col min="5885" max="5885" width="9" style="80"/>
    <col min="5886" max="5886" width="29.5" style="80" customWidth="1"/>
    <col min="5887" max="6139" width="9" style="80"/>
    <col min="6140" max="6140" width="3.625" style="80" customWidth="1"/>
    <col min="6141" max="6141" width="9" style="80"/>
    <col min="6142" max="6142" width="29.5" style="80" customWidth="1"/>
    <col min="6143" max="6395" width="9" style="80"/>
    <col min="6396" max="6396" width="3.625" style="80" customWidth="1"/>
    <col min="6397" max="6397" width="9" style="80"/>
    <col min="6398" max="6398" width="29.5" style="80" customWidth="1"/>
    <col min="6399" max="6651" width="9" style="80"/>
    <col min="6652" max="6652" width="3.625" style="80" customWidth="1"/>
    <col min="6653" max="6653" width="9" style="80"/>
    <col min="6654" max="6654" width="29.5" style="80" customWidth="1"/>
    <col min="6655" max="6907" width="9" style="80"/>
    <col min="6908" max="6908" width="3.625" style="80" customWidth="1"/>
    <col min="6909" max="6909" width="9" style="80"/>
    <col min="6910" max="6910" width="29.5" style="80" customWidth="1"/>
    <col min="6911" max="7163" width="9" style="80"/>
    <col min="7164" max="7164" width="3.625" style="80" customWidth="1"/>
    <col min="7165" max="7165" width="9" style="80"/>
    <col min="7166" max="7166" width="29.5" style="80" customWidth="1"/>
    <col min="7167" max="7419" width="9" style="80"/>
    <col min="7420" max="7420" width="3.625" style="80" customWidth="1"/>
    <col min="7421" max="7421" width="9" style="80"/>
    <col min="7422" max="7422" width="29.5" style="80" customWidth="1"/>
    <col min="7423" max="7675" width="9" style="80"/>
    <col min="7676" max="7676" width="3.625" style="80" customWidth="1"/>
    <col min="7677" max="7677" width="9" style="80"/>
    <col min="7678" max="7678" width="29.5" style="80" customWidth="1"/>
    <col min="7679" max="7931" width="9" style="80"/>
    <col min="7932" max="7932" width="3.625" style="80" customWidth="1"/>
    <col min="7933" max="7933" width="9" style="80"/>
    <col min="7934" max="7934" width="29.5" style="80" customWidth="1"/>
    <col min="7935" max="8187" width="9" style="80"/>
    <col min="8188" max="8188" width="3.625" style="80" customWidth="1"/>
    <col min="8189" max="8189" width="9" style="80"/>
    <col min="8190" max="8190" width="29.5" style="80" customWidth="1"/>
    <col min="8191" max="8443" width="9" style="80"/>
    <col min="8444" max="8444" width="3.625" style="80" customWidth="1"/>
    <col min="8445" max="8445" width="9" style="80"/>
    <col min="8446" max="8446" width="29.5" style="80" customWidth="1"/>
    <col min="8447" max="8699" width="9" style="80"/>
    <col min="8700" max="8700" width="3.625" style="80" customWidth="1"/>
    <col min="8701" max="8701" width="9" style="80"/>
    <col min="8702" max="8702" width="29.5" style="80" customWidth="1"/>
    <col min="8703" max="8955" width="9" style="80"/>
    <col min="8956" max="8956" width="3.625" style="80" customWidth="1"/>
    <col min="8957" max="8957" width="9" style="80"/>
    <col min="8958" max="8958" width="29.5" style="80" customWidth="1"/>
    <col min="8959" max="9211" width="9" style="80"/>
    <col min="9212" max="9212" width="3.625" style="80" customWidth="1"/>
    <col min="9213" max="9213" width="9" style="80"/>
    <col min="9214" max="9214" width="29.5" style="80" customWidth="1"/>
    <col min="9215" max="9467" width="9" style="80"/>
    <col min="9468" max="9468" width="3.625" style="80" customWidth="1"/>
    <col min="9469" max="9469" width="9" style="80"/>
    <col min="9470" max="9470" width="29.5" style="80" customWidth="1"/>
    <col min="9471" max="9723" width="9" style="80"/>
    <col min="9724" max="9724" width="3.625" style="80" customWidth="1"/>
    <col min="9725" max="9725" width="9" style="80"/>
    <col min="9726" max="9726" width="29.5" style="80" customWidth="1"/>
    <col min="9727" max="9979" width="9" style="80"/>
    <col min="9980" max="9980" width="3.625" style="80" customWidth="1"/>
    <col min="9981" max="9981" width="9" style="80"/>
    <col min="9982" max="9982" width="29.5" style="80" customWidth="1"/>
    <col min="9983" max="10235" width="9" style="80"/>
    <col min="10236" max="10236" width="3.625" style="80" customWidth="1"/>
    <col min="10237" max="10237" width="9" style="80"/>
    <col min="10238" max="10238" width="29.5" style="80" customWidth="1"/>
    <col min="10239" max="10491" width="9" style="80"/>
    <col min="10492" max="10492" width="3.625" style="80" customWidth="1"/>
    <col min="10493" max="10493" width="9" style="80"/>
    <col min="10494" max="10494" width="29.5" style="80" customWidth="1"/>
    <col min="10495" max="10747" width="9" style="80"/>
    <col min="10748" max="10748" width="3.625" style="80" customWidth="1"/>
    <col min="10749" max="10749" width="9" style="80"/>
    <col min="10750" max="10750" width="29.5" style="80" customWidth="1"/>
    <col min="10751" max="11003" width="9" style="80"/>
    <col min="11004" max="11004" width="3.625" style="80" customWidth="1"/>
    <col min="11005" max="11005" width="9" style="80"/>
    <col min="11006" max="11006" width="29.5" style="80" customWidth="1"/>
    <col min="11007" max="11259" width="9" style="80"/>
    <col min="11260" max="11260" width="3.625" style="80" customWidth="1"/>
    <col min="11261" max="11261" width="9" style="80"/>
    <col min="11262" max="11262" width="29.5" style="80" customWidth="1"/>
    <col min="11263" max="11515" width="9" style="80"/>
    <col min="11516" max="11516" width="3.625" style="80" customWidth="1"/>
    <col min="11517" max="11517" width="9" style="80"/>
    <col min="11518" max="11518" width="29.5" style="80" customWidth="1"/>
    <col min="11519" max="11771" width="9" style="80"/>
    <col min="11772" max="11772" width="3.625" style="80" customWidth="1"/>
    <col min="11773" max="11773" width="9" style="80"/>
    <col min="11774" max="11774" width="29.5" style="80" customWidth="1"/>
    <col min="11775" max="12027" width="9" style="80"/>
    <col min="12028" max="12028" width="3.625" style="80" customWidth="1"/>
    <col min="12029" max="12029" width="9" style="80"/>
    <col min="12030" max="12030" width="29.5" style="80" customWidth="1"/>
    <col min="12031" max="12283" width="9" style="80"/>
    <col min="12284" max="12284" width="3.625" style="80" customWidth="1"/>
    <col min="12285" max="12285" width="9" style="80"/>
    <col min="12286" max="12286" width="29.5" style="80" customWidth="1"/>
    <col min="12287" max="12539" width="9" style="80"/>
    <col min="12540" max="12540" width="3.625" style="80" customWidth="1"/>
    <col min="12541" max="12541" width="9" style="80"/>
    <col min="12542" max="12542" width="29.5" style="80" customWidth="1"/>
    <col min="12543" max="12795" width="9" style="80"/>
    <col min="12796" max="12796" width="3.625" style="80" customWidth="1"/>
    <col min="12797" max="12797" width="9" style="80"/>
    <col min="12798" max="12798" width="29.5" style="80" customWidth="1"/>
    <col min="12799" max="13051" width="9" style="80"/>
    <col min="13052" max="13052" width="3.625" style="80" customWidth="1"/>
    <col min="13053" max="13053" width="9" style="80"/>
    <col min="13054" max="13054" width="29.5" style="80" customWidth="1"/>
    <col min="13055" max="13307" width="9" style="80"/>
    <col min="13308" max="13308" width="3.625" style="80" customWidth="1"/>
    <col min="13309" max="13309" width="9" style="80"/>
    <col min="13310" max="13310" width="29.5" style="80" customWidth="1"/>
    <col min="13311" max="13563" width="9" style="80"/>
    <col min="13564" max="13564" width="3.625" style="80" customWidth="1"/>
    <col min="13565" max="13565" width="9" style="80"/>
    <col min="13566" max="13566" width="29.5" style="80" customWidth="1"/>
    <col min="13567" max="13819" width="9" style="80"/>
    <col min="13820" max="13820" width="3.625" style="80" customWidth="1"/>
    <col min="13821" max="13821" width="9" style="80"/>
    <col min="13822" max="13822" width="29.5" style="80" customWidth="1"/>
    <col min="13823" max="14075" width="9" style="80"/>
    <col min="14076" max="14076" width="3.625" style="80" customWidth="1"/>
    <col min="14077" max="14077" width="9" style="80"/>
    <col min="14078" max="14078" width="29.5" style="80" customWidth="1"/>
    <col min="14079" max="14331" width="9" style="80"/>
    <col min="14332" max="14332" width="3.625" style="80" customWidth="1"/>
    <col min="14333" max="14333" width="9" style="80"/>
    <col min="14334" max="14334" width="29.5" style="80" customWidth="1"/>
    <col min="14335" max="14587" width="9" style="80"/>
    <col min="14588" max="14588" width="3.625" style="80" customWidth="1"/>
    <col min="14589" max="14589" width="9" style="80"/>
    <col min="14590" max="14590" width="29.5" style="80" customWidth="1"/>
    <col min="14591" max="14843" width="9" style="80"/>
    <col min="14844" max="14844" width="3.625" style="80" customWidth="1"/>
    <col min="14845" max="14845" width="9" style="80"/>
    <col min="14846" max="14846" width="29.5" style="80" customWidth="1"/>
    <col min="14847" max="15099" width="9" style="80"/>
    <col min="15100" max="15100" width="3.625" style="80" customWidth="1"/>
    <col min="15101" max="15101" width="9" style="80"/>
    <col min="15102" max="15102" width="29.5" style="80" customWidth="1"/>
    <col min="15103" max="15355" width="9" style="80"/>
    <col min="15356" max="15356" width="3.625" style="80" customWidth="1"/>
    <col min="15357" max="15357" width="9" style="80"/>
    <col min="15358" max="15358" width="29.5" style="80" customWidth="1"/>
    <col min="15359" max="15611" width="9" style="80"/>
    <col min="15612" max="15612" width="3.625" style="80" customWidth="1"/>
    <col min="15613" max="15613" width="9" style="80"/>
    <col min="15614" max="15614" width="29.5" style="80" customWidth="1"/>
    <col min="15615" max="15867" width="9" style="80"/>
    <col min="15868" max="15868" width="3.625" style="80" customWidth="1"/>
    <col min="15869" max="15869" width="9" style="80"/>
    <col min="15870" max="15870" width="29.5" style="80" customWidth="1"/>
    <col min="15871" max="16123" width="9" style="80"/>
    <col min="16124" max="16124" width="3.625" style="80" customWidth="1"/>
    <col min="16125" max="16125" width="9" style="80"/>
    <col min="16126" max="16126" width="29.5" style="80" customWidth="1"/>
    <col min="16127" max="16384" width="9" style="80"/>
  </cols>
  <sheetData>
    <row r="1" s="76" customFormat="1" ht="27" customHeight="1" spans="2:8">
      <c r="B1" s="284" t="s">
        <v>183</v>
      </c>
      <c r="C1" s="81"/>
      <c r="D1" s="81"/>
      <c r="E1" s="81"/>
      <c r="F1" s="81"/>
      <c r="G1" s="81"/>
      <c r="H1" s="81"/>
    </row>
    <row r="2" s="76" customFormat="1" ht="20.1" customHeight="1" spans="2:8">
      <c r="B2" s="82" t="s">
        <v>184</v>
      </c>
      <c r="C2" s="82"/>
      <c r="D2" s="82"/>
      <c r="E2" s="82"/>
      <c r="F2" s="82"/>
      <c r="G2" s="82"/>
      <c r="H2" s="82"/>
    </row>
    <row r="3" s="76" customFormat="1" ht="20.1" customHeight="1" spans="2:8">
      <c r="B3" s="285" t="s">
        <v>185</v>
      </c>
      <c r="C3" s="286" t="s">
        <v>3</v>
      </c>
      <c r="D3" s="84" t="s">
        <v>186</v>
      </c>
      <c r="E3" s="85" t="s">
        <v>187</v>
      </c>
      <c r="F3" s="86" t="s">
        <v>188</v>
      </c>
      <c r="G3" s="87"/>
      <c r="H3" s="87"/>
    </row>
    <row r="4" s="76" customFormat="1" ht="20.1" customHeight="1" spans="2:8">
      <c r="B4" s="88"/>
      <c r="C4" s="89"/>
      <c r="D4" s="90" t="s">
        <v>22</v>
      </c>
      <c r="E4" s="91"/>
      <c r="F4" s="92" t="s">
        <v>189</v>
      </c>
      <c r="G4" s="92" t="s">
        <v>190</v>
      </c>
      <c r="H4" s="92" t="s">
        <v>191</v>
      </c>
    </row>
    <row r="5" s="76" customFormat="1" ht="20.1" customHeight="1" spans="2:8">
      <c r="B5" s="93"/>
      <c r="C5" s="94" t="s">
        <v>192</v>
      </c>
      <c r="D5" s="95" t="s">
        <v>193</v>
      </c>
      <c r="E5" s="96">
        <v>1</v>
      </c>
      <c r="F5" s="95">
        <v>1031</v>
      </c>
      <c r="G5" s="97">
        <f>F5*1.05</f>
        <v>1082.55</v>
      </c>
      <c r="H5" s="97">
        <v>1100</v>
      </c>
    </row>
    <row r="6" s="76" customFormat="1" ht="20.1" customHeight="1" spans="2:8">
      <c r="B6" s="93"/>
      <c r="C6" s="94" t="s">
        <v>194</v>
      </c>
      <c r="D6" s="95" t="s">
        <v>193</v>
      </c>
      <c r="E6" s="96">
        <v>1</v>
      </c>
      <c r="F6" s="95">
        <v>958</v>
      </c>
      <c r="G6" s="97">
        <f t="shared" ref="G6:G38" si="0">F6*1.05</f>
        <v>1005.9</v>
      </c>
      <c r="H6" s="97">
        <v>1100</v>
      </c>
    </row>
    <row r="7" s="76" customFormat="1" ht="20.1" customHeight="1" spans="2:8">
      <c r="B7" s="93"/>
      <c r="C7" s="94" t="s">
        <v>195</v>
      </c>
      <c r="D7" s="95" t="s">
        <v>193</v>
      </c>
      <c r="E7" s="96">
        <v>1</v>
      </c>
      <c r="F7" s="95">
        <v>990</v>
      </c>
      <c r="G7" s="97">
        <f t="shared" si="0"/>
        <v>1039.5</v>
      </c>
      <c r="H7" s="97">
        <v>1100</v>
      </c>
    </row>
    <row r="8" s="76" customFormat="1" ht="20.1" customHeight="1" spans="2:8">
      <c r="B8" s="93"/>
      <c r="C8" s="94" t="s">
        <v>196</v>
      </c>
      <c r="D8" s="95" t="s">
        <v>193</v>
      </c>
      <c r="E8" s="96">
        <v>1</v>
      </c>
      <c r="F8" s="95">
        <v>1235</v>
      </c>
      <c r="G8" s="97">
        <f t="shared" si="0"/>
        <v>1296.75</v>
      </c>
      <c r="H8" s="97">
        <f t="shared" ref="H8:H38" si="1">F8*1.05</f>
        <v>1296.75</v>
      </c>
    </row>
    <row r="9" s="76" customFormat="1" ht="20.1" customHeight="1" spans="2:8">
      <c r="B9" s="93"/>
      <c r="C9" s="94" t="s">
        <v>197</v>
      </c>
      <c r="D9" s="95" t="s">
        <v>193</v>
      </c>
      <c r="E9" s="96">
        <v>1</v>
      </c>
      <c r="F9" s="95">
        <v>1295</v>
      </c>
      <c r="G9" s="97">
        <f t="shared" si="0"/>
        <v>1359.75</v>
      </c>
      <c r="H9" s="97">
        <f t="shared" si="1"/>
        <v>1359.75</v>
      </c>
    </row>
    <row r="10" s="76" customFormat="1" ht="20.1" customHeight="1" spans="2:8">
      <c r="B10" s="93"/>
      <c r="C10" s="94" t="s">
        <v>198</v>
      </c>
      <c r="D10" s="95" t="s">
        <v>193</v>
      </c>
      <c r="E10" s="96">
        <v>1</v>
      </c>
      <c r="F10" s="95">
        <v>5432</v>
      </c>
      <c r="G10" s="97">
        <f t="shared" si="0"/>
        <v>5703.6</v>
      </c>
      <c r="H10" s="97">
        <f t="shared" si="1"/>
        <v>5703.6</v>
      </c>
    </row>
    <row r="11" s="76" customFormat="1" ht="20.1" customHeight="1" spans="2:8">
      <c r="B11" s="93"/>
      <c r="C11" s="94" t="s">
        <v>199</v>
      </c>
      <c r="D11" s="95" t="s">
        <v>193</v>
      </c>
      <c r="E11" s="96">
        <v>1</v>
      </c>
      <c r="F11" s="95">
        <v>5443</v>
      </c>
      <c r="G11" s="97">
        <f t="shared" si="0"/>
        <v>5715.15</v>
      </c>
      <c r="H11" s="97">
        <f t="shared" si="1"/>
        <v>5715.15</v>
      </c>
    </row>
    <row r="12" s="76" customFormat="1" ht="20.1" customHeight="1" spans="2:8">
      <c r="B12" s="93"/>
      <c r="C12" s="94" t="s">
        <v>200</v>
      </c>
      <c r="D12" s="95" t="s">
        <v>193</v>
      </c>
      <c r="E12" s="96">
        <v>1</v>
      </c>
      <c r="F12" s="95">
        <v>5465</v>
      </c>
      <c r="G12" s="97">
        <f t="shared" si="0"/>
        <v>5738.25</v>
      </c>
      <c r="H12" s="97">
        <f t="shared" si="1"/>
        <v>5738.25</v>
      </c>
    </row>
    <row r="13" s="76" customFormat="1" ht="20.1" customHeight="1" spans="2:8">
      <c r="B13" s="93"/>
      <c r="C13" s="94" t="s">
        <v>201</v>
      </c>
      <c r="D13" s="95" t="s">
        <v>193</v>
      </c>
      <c r="E13" s="96">
        <v>1</v>
      </c>
      <c r="F13" s="95">
        <v>5476</v>
      </c>
      <c r="G13" s="97">
        <f t="shared" si="0"/>
        <v>5749.8</v>
      </c>
      <c r="H13" s="97">
        <f t="shared" si="1"/>
        <v>5749.8</v>
      </c>
    </row>
    <row r="14" s="76" customFormat="1" ht="20.1" customHeight="1" spans="2:8">
      <c r="B14" s="93"/>
      <c r="C14" s="94" t="s">
        <v>202</v>
      </c>
      <c r="D14" s="95" t="s">
        <v>193</v>
      </c>
      <c r="E14" s="96">
        <v>1</v>
      </c>
      <c r="F14" s="95">
        <v>1149</v>
      </c>
      <c r="G14" s="97">
        <f t="shared" si="0"/>
        <v>1206.45</v>
      </c>
      <c r="H14" s="97">
        <f t="shared" si="1"/>
        <v>1206.45</v>
      </c>
    </row>
    <row r="15" s="76" customFormat="1" ht="20.1" customHeight="1" spans="2:8">
      <c r="B15" s="93"/>
      <c r="C15" s="94" t="s">
        <v>203</v>
      </c>
      <c r="D15" s="95" t="s">
        <v>193</v>
      </c>
      <c r="E15" s="96">
        <v>1</v>
      </c>
      <c r="F15" s="95">
        <v>1181</v>
      </c>
      <c r="G15" s="97">
        <f t="shared" si="0"/>
        <v>1240.05</v>
      </c>
      <c r="H15" s="97">
        <f t="shared" si="1"/>
        <v>1240.05</v>
      </c>
    </row>
    <row r="16" s="76" customFormat="1" ht="20.1" customHeight="1" spans="2:8">
      <c r="B16" s="93"/>
      <c r="C16" s="94" t="s">
        <v>204</v>
      </c>
      <c r="D16" s="95" t="s">
        <v>193</v>
      </c>
      <c r="E16" s="96">
        <v>1</v>
      </c>
      <c r="F16" s="95">
        <v>1468</v>
      </c>
      <c r="G16" s="97">
        <f t="shared" si="0"/>
        <v>1541.4</v>
      </c>
      <c r="H16" s="97">
        <f t="shared" si="1"/>
        <v>1541.4</v>
      </c>
    </row>
    <row r="17" s="76" customFormat="1" ht="20.1" customHeight="1" spans="2:8">
      <c r="B17" s="93"/>
      <c r="C17" s="94" t="s">
        <v>205</v>
      </c>
      <c r="D17" s="95" t="s">
        <v>193</v>
      </c>
      <c r="E17" s="96">
        <v>1</v>
      </c>
      <c r="F17" s="95">
        <v>1500</v>
      </c>
      <c r="G17" s="97">
        <f t="shared" si="0"/>
        <v>1575</v>
      </c>
      <c r="H17" s="97">
        <f t="shared" si="1"/>
        <v>1575</v>
      </c>
    </row>
    <row r="18" s="76" customFormat="1" ht="20.1" customHeight="1" spans="2:8">
      <c r="B18" s="93"/>
      <c r="C18" s="94" t="s">
        <v>206</v>
      </c>
      <c r="D18" s="95" t="s">
        <v>193</v>
      </c>
      <c r="E18" s="96">
        <v>1</v>
      </c>
      <c r="F18" s="95">
        <v>5668</v>
      </c>
      <c r="G18" s="97">
        <f t="shared" si="0"/>
        <v>5951.4</v>
      </c>
      <c r="H18" s="97">
        <f t="shared" si="1"/>
        <v>5951.4</v>
      </c>
    </row>
    <row r="19" s="76" customFormat="1" ht="20.1" customHeight="1" spans="2:8">
      <c r="B19" s="93"/>
      <c r="C19" s="94" t="s">
        <v>207</v>
      </c>
      <c r="D19" s="95" t="s">
        <v>193</v>
      </c>
      <c r="E19" s="96">
        <v>1</v>
      </c>
      <c r="F19" s="95">
        <v>5680</v>
      </c>
      <c r="G19" s="97">
        <f t="shared" si="0"/>
        <v>5964</v>
      </c>
      <c r="H19" s="97">
        <f t="shared" si="1"/>
        <v>5964</v>
      </c>
    </row>
    <row r="20" s="76" customFormat="1" ht="20.1" customHeight="1" spans="2:8">
      <c r="B20" s="93"/>
      <c r="C20" s="94" t="s">
        <v>208</v>
      </c>
      <c r="D20" s="95" t="s">
        <v>193</v>
      </c>
      <c r="E20" s="96">
        <v>1</v>
      </c>
      <c r="F20" s="95">
        <v>5703</v>
      </c>
      <c r="G20" s="97">
        <f t="shared" si="0"/>
        <v>5988.15</v>
      </c>
      <c r="H20" s="97">
        <f t="shared" si="1"/>
        <v>5988.15</v>
      </c>
    </row>
    <row r="21" s="76" customFormat="1" ht="20.1" customHeight="1" spans="2:8">
      <c r="B21" s="93"/>
      <c r="C21" s="94" t="s">
        <v>209</v>
      </c>
      <c r="D21" s="95" t="s">
        <v>193</v>
      </c>
      <c r="E21" s="96">
        <v>1</v>
      </c>
      <c r="F21" s="95">
        <v>5715</v>
      </c>
      <c r="G21" s="97">
        <f t="shared" si="0"/>
        <v>6000.75</v>
      </c>
      <c r="H21" s="97">
        <f t="shared" si="1"/>
        <v>6000.75</v>
      </c>
    </row>
    <row r="22" s="76" customFormat="1" ht="20.1" customHeight="1" spans="2:8">
      <c r="B22" s="93"/>
      <c r="C22" s="94" t="s">
        <v>210</v>
      </c>
      <c r="D22" s="95" t="s">
        <v>193</v>
      </c>
      <c r="E22" s="96">
        <v>1</v>
      </c>
      <c r="F22" s="95">
        <v>5739</v>
      </c>
      <c r="G22" s="97">
        <f t="shared" si="0"/>
        <v>6025.95</v>
      </c>
      <c r="H22" s="97">
        <f t="shared" si="1"/>
        <v>6025.95</v>
      </c>
    </row>
    <row r="23" s="76" customFormat="1" ht="20.1" customHeight="1" spans="2:8">
      <c r="B23" s="93"/>
      <c r="C23" s="94" t="s">
        <v>211</v>
      </c>
      <c r="D23" s="95" t="s">
        <v>193</v>
      </c>
      <c r="E23" s="96">
        <v>1</v>
      </c>
      <c r="F23" s="95">
        <v>5751</v>
      </c>
      <c r="G23" s="97">
        <f t="shared" si="0"/>
        <v>6038.55</v>
      </c>
      <c r="H23" s="97">
        <f t="shared" si="1"/>
        <v>6038.55</v>
      </c>
    </row>
    <row r="24" s="76" customFormat="1" ht="20.1" customHeight="1" spans="2:8">
      <c r="B24" s="93"/>
      <c r="C24" s="94" t="s">
        <v>212</v>
      </c>
      <c r="D24" s="95" t="s">
        <v>193</v>
      </c>
      <c r="E24" s="96">
        <v>1</v>
      </c>
      <c r="F24" s="95">
        <v>5774</v>
      </c>
      <c r="G24" s="97">
        <f t="shared" si="0"/>
        <v>6062.7</v>
      </c>
      <c r="H24" s="97">
        <f t="shared" si="1"/>
        <v>6062.7</v>
      </c>
    </row>
    <row r="25" s="76" customFormat="1" ht="20.1" customHeight="1" spans="2:8">
      <c r="B25" s="93"/>
      <c r="C25" s="94" t="s">
        <v>213</v>
      </c>
      <c r="D25" s="95" t="s">
        <v>193</v>
      </c>
      <c r="E25" s="96">
        <v>1</v>
      </c>
      <c r="F25" s="95">
        <v>5786</v>
      </c>
      <c r="G25" s="97">
        <f t="shared" si="0"/>
        <v>6075.3</v>
      </c>
      <c r="H25" s="97">
        <f t="shared" si="1"/>
        <v>6075.3</v>
      </c>
    </row>
    <row r="26" s="76" customFormat="1" ht="20.1" customHeight="1" spans="2:8">
      <c r="B26" s="93"/>
      <c r="C26" s="94" t="s">
        <v>214</v>
      </c>
      <c r="D26" s="95" t="s">
        <v>193</v>
      </c>
      <c r="E26" s="96">
        <v>1</v>
      </c>
      <c r="F26" s="95">
        <v>6040</v>
      </c>
      <c r="G26" s="97">
        <f t="shared" si="0"/>
        <v>6342</v>
      </c>
      <c r="H26" s="97">
        <f t="shared" si="1"/>
        <v>6342</v>
      </c>
    </row>
    <row r="27" s="76" customFormat="1" ht="20.1" customHeight="1" spans="2:8">
      <c r="B27" s="93"/>
      <c r="C27" s="94" t="s">
        <v>215</v>
      </c>
      <c r="D27" s="95" t="s">
        <v>193</v>
      </c>
      <c r="E27" s="96">
        <v>1</v>
      </c>
      <c r="F27" s="95">
        <v>6052</v>
      </c>
      <c r="G27" s="97">
        <f t="shared" si="0"/>
        <v>6354.6</v>
      </c>
      <c r="H27" s="97">
        <f t="shared" si="1"/>
        <v>6354.6</v>
      </c>
    </row>
    <row r="28" s="76" customFormat="1" ht="20.1" customHeight="1" spans="2:8">
      <c r="B28" s="93"/>
      <c r="C28" s="94" t="s">
        <v>216</v>
      </c>
      <c r="D28" s="95" t="s">
        <v>193</v>
      </c>
      <c r="E28" s="96">
        <v>1</v>
      </c>
      <c r="F28" s="95">
        <v>7432</v>
      </c>
      <c r="G28" s="97">
        <f t="shared" si="0"/>
        <v>7803.6</v>
      </c>
      <c r="H28" s="97">
        <f t="shared" si="1"/>
        <v>7803.6</v>
      </c>
    </row>
    <row r="29" s="76" customFormat="1" ht="20.1" customHeight="1" spans="2:8">
      <c r="B29" s="93"/>
      <c r="C29" s="94" t="s">
        <v>217</v>
      </c>
      <c r="D29" s="95" t="s">
        <v>193</v>
      </c>
      <c r="E29" s="96">
        <v>1</v>
      </c>
      <c r="F29" s="95">
        <v>7444</v>
      </c>
      <c r="G29" s="97">
        <f t="shared" si="0"/>
        <v>7816.2</v>
      </c>
      <c r="H29" s="97">
        <f t="shared" si="1"/>
        <v>7816.2</v>
      </c>
    </row>
    <row r="30" s="76" customFormat="1" ht="20.1" customHeight="1" spans="2:8">
      <c r="B30" s="93"/>
      <c r="C30" s="94" t="s">
        <v>218</v>
      </c>
      <c r="D30" s="95" t="s">
        <v>193</v>
      </c>
      <c r="E30" s="96">
        <v>1</v>
      </c>
      <c r="F30" s="95">
        <v>7953</v>
      </c>
      <c r="G30" s="97">
        <f t="shared" si="0"/>
        <v>8350.65</v>
      </c>
      <c r="H30" s="97">
        <f t="shared" si="1"/>
        <v>8350.65</v>
      </c>
    </row>
    <row r="31" s="76" customFormat="1" ht="20.1" customHeight="1" spans="2:8">
      <c r="B31" s="93"/>
      <c r="C31" s="94" t="s">
        <v>219</v>
      </c>
      <c r="D31" s="95" t="s">
        <v>193</v>
      </c>
      <c r="E31" s="96">
        <v>1</v>
      </c>
      <c r="F31" s="95">
        <v>7966</v>
      </c>
      <c r="G31" s="97">
        <f t="shared" si="0"/>
        <v>8364.3</v>
      </c>
      <c r="H31" s="97">
        <f t="shared" si="1"/>
        <v>8364.3</v>
      </c>
    </row>
    <row r="32" s="76" customFormat="1" ht="20.1" customHeight="1" spans="2:8">
      <c r="B32" s="93"/>
      <c r="C32" s="94" t="s">
        <v>220</v>
      </c>
      <c r="D32" s="95" t="s">
        <v>193</v>
      </c>
      <c r="E32" s="96">
        <v>1</v>
      </c>
      <c r="F32" s="95">
        <v>11153</v>
      </c>
      <c r="G32" s="97">
        <f t="shared" si="0"/>
        <v>11710.65</v>
      </c>
      <c r="H32" s="97">
        <f t="shared" si="1"/>
        <v>11710.65</v>
      </c>
    </row>
    <row r="33" s="76" customFormat="1" ht="20.1" customHeight="1" spans="2:8">
      <c r="B33" s="93"/>
      <c r="C33" s="94" t="s">
        <v>221</v>
      </c>
      <c r="D33" s="95" t="s">
        <v>193</v>
      </c>
      <c r="E33" s="96">
        <v>1</v>
      </c>
      <c r="F33" s="95">
        <v>11166</v>
      </c>
      <c r="G33" s="97">
        <f t="shared" si="0"/>
        <v>11724.3</v>
      </c>
      <c r="H33" s="97">
        <f t="shared" si="1"/>
        <v>11724.3</v>
      </c>
    </row>
    <row r="34" s="76" customFormat="1" ht="20.1" customHeight="1" spans="2:8">
      <c r="B34" s="93"/>
      <c r="C34" s="94" t="s">
        <v>222</v>
      </c>
      <c r="D34" s="95" t="s">
        <v>193</v>
      </c>
      <c r="E34" s="96">
        <v>1</v>
      </c>
      <c r="F34" s="95">
        <v>627</v>
      </c>
      <c r="G34" s="97">
        <f t="shared" si="0"/>
        <v>658.35</v>
      </c>
      <c r="H34" s="97">
        <f t="shared" si="1"/>
        <v>658.35</v>
      </c>
    </row>
    <row r="35" s="76" customFormat="1" ht="20.1" customHeight="1" spans="2:8">
      <c r="B35" s="93"/>
      <c r="C35" s="94" t="s">
        <v>223</v>
      </c>
      <c r="D35" s="95" t="s">
        <v>193</v>
      </c>
      <c r="E35" s="96">
        <v>1</v>
      </c>
      <c r="F35" s="95">
        <v>560</v>
      </c>
      <c r="G35" s="97">
        <f t="shared" si="0"/>
        <v>588</v>
      </c>
      <c r="H35" s="97">
        <f t="shared" si="1"/>
        <v>588</v>
      </c>
    </row>
    <row r="36" s="76" customFormat="1" ht="20.1" customHeight="1" spans="2:8">
      <c r="B36" s="93"/>
      <c r="C36" s="94" t="s">
        <v>224</v>
      </c>
      <c r="D36" s="95" t="s">
        <v>193</v>
      </c>
      <c r="E36" s="96">
        <v>1</v>
      </c>
      <c r="F36" s="95">
        <v>590</v>
      </c>
      <c r="G36" s="97">
        <f t="shared" si="0"/>
        <v>619.5</v>
      </c>
      <c r="H36" s="97">
        <f t="shared" si="1"/>
        <v>619.5</v>
      </c>
    </row>
    <row r="37" s="76" customFormat="1" ht="20.1" customHeight="1" spans="2:8">
      <c r="B37" s="93"/>
      <c r="C37" s="94" t="s">
        <v>225</v>
      </c>
      <c r="D37" s="95" t="s">
        <v>193</v>
      </c>
      <c r="E37" s="96">
        <v>1</v>
      </c>
      <c r="F37" s="95">
        <v>704</v>
      </c>
      <c r="G37" s="97">
        <f t="shared" si="0"/>
        <v>739.2</v>
      </c>
      <c r="H37" s="97">
        <f t="shared" si="1"/>
        <v>739.2</v>
      </c>
    </row>
    <row r="38" s="76" customFormat="1" ht="20.1" customHeight="1" spans="2:8">
      <c r="B38" s="93"/>
      <c r="C38" s="94" t="s">
        <v>226</v>
      </c>
      <c r="D38" s="95" t="s">
        <v>193</v>
      </c>
      <c r="E38" s="96">
        <v>1</v>
      </c>
      <c r="F38" s="95">
        <v>733</v>
      </c>
      <c r="G38" s="97">
        <f t="shared" si="0"/>
        <v>769.65</v>
      </c>
      <c r="H38" s="97">
        <f t="shared" si="1"/>
        <v>769.65</v>
      </c>
    </row>
    <row r="39" s="76" customFormat="1" ht="20.1" customHeight="1" spans="2:8">
      <c r="B39" s="93"/>
      <c r="C39" s="94" t="s">
        <v>227</v>
      </c>
      <c r="D39" s="95" t="s">
        <v>228</v>
      </c>
      <c r="E39" s="96">
        <v>1</v>
      </c>
      <c r="F39" s="95">
        <v>2084</v>
      </c>
      <c r="G39" s="97"/>
      <c r="H39" s="97">
        <v>2500</v>
      </c>
    </row>
    <row r="40" s="76" customFormat="1" ht="20.1" customHeight="1" spans="2:8">
      <c r="B40" s="93"/>
      <c r="C40" s="94" t="s">
        <v>229</v>
      </c>
      <c r="D40" s="95" t="s">
        <v>228</v>
      </c>
      <c r="E40" s="96">
        <v>1</v>
      </c>
      <c r="F40" s="95">
        <v>5000</v>
      </c>
      <c r="G40" s="97"/>
      <c r="H40" s="97">
        <f>E40*F40</f>
        <v>5000</v>
      </c>
    </row>
    <row r="41" s="76" customFormat="1" ht="20.1" customHeight="1" spans="2:8">
      <c r="B41" s="93"/>
      <c r="C41" s="94" t="s">
        <v>230</v>
      </c>
      <c r="D41" s="95" t="s">
        <v>231</v>
      </c>
      <c r="E41" s="96">
        <v>1</v>
      </c>
      <c r="F41" s="95">
        <v>1400000</v>
      </c>
      <c r="G41" s="97"/>
      <c r="H41" s="97">
        <f>E41*F41</f>
        <v>1400000</v>
      </c>
    </row>
    <row r="42" s="76" customFormat="1" ht="20.1" customHeight="1" spans="2:8">
      <c r="B42" s="93"/>
      <c r="C42" s="94" t="s">
        <v>232</v>
      </c>
      <c r="D42" s="95" t="s">
        <v>29</v>
      </c>
      <c r="E42" s="96">
        <v>1</v>
      </c>
      <c r="F42" s="95">
        <v>26</v>
      </c>
      <c r="G42" s="97"/>
      <c r="H42" s="97">
        <v>30</v>
      </c>
    </row>
    <row r="43" s="76" customFormat="1" ht="20.1" customHeight="1" spans="2:8">
      <c r="B43" s="93"/>
      <c r="C43" s="94" t="s">
        <v>233</v>
      </c>
      <c r="D43" s="95" t="s">
        <v>29</v>
      </c>
      <c r="E43" s="96">
        <v>1</v>
      </c>
      <c r="F43" s="95">
        <v>195</v>
      </c>
      <c r="G43" s="97"/>
      <c r="H43" s="97">
        <v>200</v>
      </c>
    </row>
    <row r="44" s="76" customFormat="1" ht="20.1" customHeight="1" spans="2:8">
      <c r="B44" s="93"/>
      <c r="C44" s="94" t="s">
        <v>234</v>
      </c>
      <c r="D44" s="95" t="s">
        <v>29</v>
      </c>
      <c r="E44" s="96">
        <v>1</v>
      </c>
      <c r="F44" s="95">
        <v>44</v>
      </c>
      <c r="G44" s="97"/>
      <c r="H44" s="97">
        <v>45</v>
      </c>
    </row>
    <row r="45" s="76" customFormat="1" ht="20.1" customHeight="1" spans="2:8">
      <c r="B45" s="93"/>
      <c r="C45" s="94" t="s">
        <v>235</v>
      </c>
      <c r="D45" s="95" t="s">
        <v>29</v>
      </c>
      <c r="E45" s="96">
        <v>1</v>
      </c>
      <c r="F45" s="95">
        <v>313</v>
      </c>
      <c r="G45" s="97"/>
      <c r="H45" s="97">
        <v>320</v>
      </c>
    </row>
    <row r="46" s="76" customFormat="1" ht="20.1" customHeight="1" spans="2:8">
      <c r="B46" s="93"/>
      <c r="C46" s="98"/>
      <c r="D46" s="99"/>
      <c r="E46" s="99"/>
      <c r="F46" s="100"/>
      <c r="G46" s="101"/>
      <c r="H46" s="101"/>
    </row>
    <row r="47" s="76" customFormat="1" ht="20.1" customHeight="1" spans="2:8">
      <c r="B47" s="93"/>
      <c r="C47" s="94" t="s">
        <v>236</v>
      </c>
      <c r="D47" s="95" t="s">
        <v>237</v>
      </c>
      <c r="E47" s="102"/>
      <c r="F47" s="103"/>
      <c r="G47" s="104"/>
      <c r="H47" s="97">
        <f>SUM(H5:H46)</f>
        <v>1562469</v>
      </c>
    </row>
    <row r="48" s="76" customFormat="1" ht="20.1" customHeight="1" spans="2:8">
      <c r="B48" s="93"/>
      <c r="C48" s="94" t="s">
        <v>238</v>
      </c>
      <c r="D48" s="92" t="s">
        <v>237</v>
      </c>
      <c r="E48" s="95"/>
      <c r="F48" s="95"/>
      <c r="G48" s="97"/>
      <c r="H48" s="97">
        <f>+H47*0.05</f>
        <v>78123.45</v>
      </c>
    </row>
    <row r="49" s="76" customFormat="1" ht="20.1" customHeight="1" spans="2:8">
      <c r="B49" s="93"/>
      <c r="C49" s="94" t="s">
        <v>21</v>
      </c>
      <c r="D49" s="92" t="s">
        <v>237</v>
      </c>
      <c r="E49" s="95"/>
      <c r="F49" s="95"/>
      <c r="G49" s="97"/>
      <c r="H49" s="97">
        <f>+H47+H48</f>
        <v>1640592.45</v>
      </c>
    </row>
    <row r="50" s="76" customFormat="1" ht="20.1" customHeight="1" spans="2:8">
      <c r="B50" s="93"/>
      <c r="C50" s="94" t="s">
        <v>239</v>
      </c>
      <c r="D50" s="95" t="s">
        <v>237</v>
      </c>
      <c r="E50" s="102"/>
      <c r="F50" s="105"/>
      <c r="G50" s="106"/>
      <c r="H50" s="97">
        <f>+H49*0.15</f>
        <v>246088.8675</v>
      </c>
    </row>
    <row r="51" s="76" customFormat="1" ht="20.1" customHeight="1" spans="2:8">
      <c r="B51" s="93"/>
      <c r="C51" s="107" t="s">
        <v>240</v>
      </c>
      <c r="D51" s="92" t="s">
        <v>237</v>
      </c>
      <c r="E51" s="95"/>
      <c r="F51" s="95"/>
      <c r="G51" s="97"/>
      <c r="H51" s="97">
        <f>SUM(H49:H50)</f>
        <v>1886681.3175</v>
      </c>
    </row>
    <row r="52" s="76" customFormat="1" ht="20.1" customHeight="1" spans="2:8">
      <c r="B52" s="108"/>
      <c r="C52" s="109"/>
      <c r="D52" s="110"/>
      <c r="E52" s="111"/>
      <c r="F52" s="111"/>
      <c r="G52" s="112"/>
      <c r="H52" s="113"/>
    </row>
    <row r="53" s="76" customFormat="1" ht="20.1" customHeight="1" spans="2:8">
      <c r="B53" s="114"/>
      <c r="C53" s="78"/>
      <c r="D53" s="115"/>
      <c r="E53" s="116"/>
      <c r="F53" s="116"/>
      <c r="G53" s="116"/>
      <c r="H53" s="117"/>
    </row>
    <row r="54" s="76" customFormat="1" ht="20.1" customHeight="1" spans="2:8">
      <c r="B54" s="114"/>
      <c r="C54" s="78"/>
      <c r="D54" s="115"/>
      <c r="E54" s="116"/>
      <c r="F54" s="116"/>
      <c r="G54" s="116"/>
      <c r="H54" s="117"/>
    </row>
    <row r="55" s="77" customFormat="1" ht="20.1" customHeight="1" spans="2:8">
      <c r="B55" s="118"/>
      <c r="C55" s="118"/>
      <c r="D55" s="118"/>
      <c r="E55" s="119"/>
      <c r="F55" s="118"/>
      <c r="G55" s="118"/>
      <c r="H55" s="118"/>
    </row>
    <row r="56" s="77" customFormat="1" ht="20.1" customHeight="1" spans="2:8">
      <c r="B56" s="114"/>
      <c r="C56" s="115"/>
      <c r="D56" s="115"/>
      <c r="E56" s="120"/>
      <c r="F56" s="118"/>
      <c r="G56" s="118"/>
      <c r="H56" s="118"/>
    </row>
    <row r="57" s="77" customFormat="1" ht="20.1" customHeight="1" spans="2:8">
      <c r="B57" s="121"/>
      <c r="D57" s="115"/>
      <c r="E57" s="122"/>
      <c r="F57" s="115"/>
      <c r="G57" s="115"/>
      <c r="H57" s="115"/>
    </row>
    <row r="58" s="77" customFormat="1" ht="20.1" customHeight="1" spans="2:8">
      <c r="B58" s="114"/>
      <c r="C58" s="123"/>
      <c r="D58" s="124"/>
      <c r="E58" s="125"/>
      <c r="F58" s="125"/>
      <c r="G58" s="125"/>
      <c r="H58" s="125"/>
    </row>
    <row r="59" s="77" customFormat="1" ht="20.1" customHeight="1" spans="2:8">
      <c r="B59" s="114"/>
      <c r="C59" s="123"/>
      <c r="D59" s="124"/>
      <c r="E59" s="125"/>
      <c r="F59" s="125"/>
      <c r="G59" s="125"/>
      <c r="H59" s="125"/>
    </row>
    <row r="60" s="77" customFormat="1" ht="20.1" customHeight="1" spans="2:8">
      <c r="B60" s="114"/>
      <c r="C60" s="123"/>
      <c r="D60" s="124"/>
      <c r="E60" s="125"/>
      <c r="F60" s="125"/>
      <c r="G60" s="125"/>
      <c r="H60" s="125"/>
    </row>
    <row r="61" s="77" customFormat="1" ht="20.1" customHeight="1" spans="2:8">
      <c r="B61" s="114"/>
      <c r="C61" s="123"/>
      <c r="D61" s="124"/>
      <c r="E61" s="125"/>
      <c r="F61" s="125"/>
      <c r="G61" s="125"/>
      <c r="H61" s="125"/>
    </row>
    <row r="62" s="77" customFormat="1" ht="20.1" customHeight="1" spans="2:8">
      <c r="B62" s="114"/>
      <c r="C62" s="123"/>
      <c r="D62" s="124"/>
      <c r="E62" s="125"/>
      <c r="F62" s="125"/>
      <c r="G62" s="125"/>
      <c r="H62" s="125"/>
    </row>
    <row r="63" s="77" customFormat="1" ht="20.1" customHeight="1" spans="2:8">
      <c r="B63" s="114"/>
      <c r="C63" s="123"/>
      <c r="D63" s="124"/>
      <c r="E63" s="125"/>
      <c r="F63" s="125"/>
      <c r="G63" s="125"/>
      <c r="H63" s="125"/>
    </row>
    <row r="64" s="77" customFormat="1" ht="20.1" customHeight="1" spans="2:8">
      <c r="B64" s="114"/>
      <c r="C64" s="123"/>
      <c r="D64" s="124"/>
      <c r="E64" s="125"/>
      <c r="F64" s="125"/>
      <c r="G64" s="125"/>
      <c r="H64" s="125"/>
    </row>
    <row r="65" s="77" customFormat="1" ht="20.1" customHeight="1" spans="2:8">
      <c r="B65" s="114"/>
      <c r="C65" s="78"/>
      <c r="D65" s="124"/>
      <c r="E65" s="116"/>
      <c r="F65" s="116"/>
      <c r="G65" s="116"/>
      <c r="H65" s="125"/>
    </row>
    <row r="66" s="77" customFormat="1" ht="20.1" customHeight="1" spans="2:8">
      <c r="B66" s="114"/>
      <c r="C66" s="78"/>
      <c r="D66" s="115"/>
      <c r="E66" s="116"/>
      <c r="F66" s="116"/>
      <c r="G66" s="116"/>
      <c r="H66" s="116"/>
    </row>
    <row r="67" s="77" customFormat="1" ht="20.1" customHeight="1" spans="2:8">
      <c r="B67" s="114"/>
      <c r="C67" s="123"/>
      <c r="D67" s="124"/>
      <c r="E67" s="125"/>
      <c r="F67" s="125"/>
      <c r="G67" s="125"/>
      <c r="H67" s="125"/>
    </row>
    <row r="68" s="77" customFormat="1" ht="20.1" customHeight="1" spans="2:8">
      <c r="B68" s="114"/>
      <c r="C68" s="123"/>
      <c r="D68" s="124"/>
      <c r="E68" s="125"/>
      <c r="F68" s="125"/>
      <c r="G68" s="125"/>
      <c r="H68" s="125"/>
    </row>
    <row r="69" s="77" customFormat="1" ht="20.1" customHeight="1" spans="2:8">
      <c r="B69" s="114"/>
      <c r="C69" s="123"/>
      <c r="D69" s="124"/>
      <c r="E69" s="125"/>
      <c r="F69" s="125"/>
      <c r="G69" s="125"/>
      <c r="H69" s="125"/>
    </row>
    <row r="70" s="77" customFormat="1" ht="20.1" customHeight="1" spans="2:8">
      <c r="B70" s="114"/>
      <c r="C70" s="123"/>
      <c r="D70" s="124"/>
      <c r="E70" s="125"/>
      <c r="F70" s="125"/>
      <c r="G70" s="125"/>
      <c r="H70" s="125"/>
    </row>
    <row r="71" s="77" customFormat="1" ht="20.1" customHeight="1" spans="2:8">
      <c r="B71" s="114"/>
      <c r="C71" s="123"/>
      <c r="D71" s="124"/>
      <c r="E71" s="125"/>
      <c r="F71" s="125"/>
      <c r="G71" s="125"/>
      <c r="H71" s="125"/>
    </row>
    <row r="72" s="77" customFormat="1" ht="20.1" customHeight="1" spans="2:8">
      <c r="B72" s="114"/>
      <c r="C72" s="123"/>
      <c r="D72" s="124"/>
      <c r="E72" s="125"/>
      <c r="F72" s="125"/>
      <c r="G72" s="125"/>
      <c r="H72" s="125"/>
    </row>
    <row r="73" s="77" customFormat="1" ht="20.1" customHeight="1" spans="2:8">
      <c r="B73" s="114"/>
      <c r="C73" s="123"/>
      <c r="D73" s="124"/>
      <c r="E73" s="125"/>
      <c r="F73" s="125"/>
      <c r="G73" s="125"/>
      <c r="H73" s="125"/>
    </row>
    <row r="74" s="77" customFormat="1" ht="20.1" customHeight="1" spans="2:8">
      <c r="B74" s="114"/>
      <c r="C74" s="78"/>
      <c r="D74" s="115"/>
      <c r="E74" s="116"/>
      <c r="F74" s="116"/>
      <c r="G74" s="116"/>
      <c r="H74" s="117"/>
    </row>
    <row r="75" s="77" customFormat="1" ht="20.1" customHeight="1" spans="2:8">
      <c r="B75" s="114"/>
      <c r="C75" s="78"/>
      <c r="D75" s="115"/>
      <c r="E75" s="116"/>
      <c r="F75" s="116"/>
      <c r="G75" s="116"/>
      <c r="H75" s="117"/>
    </row>
    <row r="76" s="77" customFormat="1" ht="20.1" customHeight="1" spans="2:8">
      <c r="B76" s="114"/>
      <c r="C76" s="78"/>
      <c r="D76" s="115"/>
      <c r="E76" s="116"/>
      <c r="F76" s="116"/>
      <c r="G76" s="116"/>
      <c r="H76" s="117"/>
    </row>
    <row r="77" s="77" customFormat="1" ht="20.1" customHeight="1" spans="2:8">
      <c r="B77" s="114"/>
      <c r="C77" s="123"/>
      <c r="D77" s="124"/>
      <c r="E77" s="125"/>
      <c r="F77" s="126"/>
      <c r="G77" s="126"/>
      <c r="H77" s="125"/>
    </row>
    <row r="78" s="77" customFormat="1" ht="20.1" customHeight="1" spans="2:8">
      <c r="B78" s="114"/>
      <c r="C78" s="123"/>
      <c r="D78" s="124"/>
      <c r="E78" s="125"/>
      <c r="F78" s="127"/>
      <c r="G78" s="127"/>
      <c r="H78" s="125"/>
    </row>
    <row r="79" s="77" customFormat="1" ht="20.1" customHeight="1" spans="2:8">
      <c r="B79" s="114"/>
      <c r="C79" s="123"/>
      <c r="D79" s="124"/>
      <c r="E79" s="125"/>
      <c r="F79" s="127"/>
      <c r="G79" s="127"/>
      <c r="H79" s="125"/>
    </row>
    <row r="80" s="77" customFormat="1" ht="20.1" customHeight="1" spans="2:8">
      <c r="B80" s="114"/>
      <c r="C80" s="123"/>
      <c r="D80" s="124"/>
      <c r="E80" s="125"/>
      <c r="F80" s="126"/>
      <c r="G80" s="126"/>
      <c r="H80" s="125"/>
    </row>
    <row r="81" s="77" customFormat="1" ht="20.1" customHeight="1" spans="2:8">
      <c r="B81" s="114"/>
      <c r="C81" s="78"/>
      <c r="D81" s="115"/>
      <c r="E81" s="116"/>
      <c r="F81" s="116"/>
      <c r="G81" s="116"/>
      <c r="H81" s="117"/>
    </row>
    <row r="82" s="77" customFormat="1" ht="20.1" customHeight="1" spans="2:8">
      <c r="B82" s="114"/>
      <c r="C82" s="78"/>
      <c r="D82" s="115"/>
      <c r="E82" s="116"/>
      <c r="F82" s="116"/>
      <c r="G82" s="116"/>
      <c r="H82" s="117"/>
    </row>
    <row r="83" s="77" customFormat="1" ht="20.1" customHeight="1" spans="2:8">
      <c r="B83" s="114"/>
      <c r="C83" s="78"/>
      <c r="D83" s="115"/>
      <c r="E83" s="116"/>
      <c r="F83" s="116"/>
      <c r="G83" s="116"/>
      <c r="H83" s="117"/>
    </row>
    <row r="84" s="77" customFormat="1" ht="20.1" customHeight="1" spans="2:8">
      <c r="B84" s="114"/>
      <c r="C84" s="78"/>
      <c r="D84" s="115"/>
      <c r="E84" s="116"/>
      <c r="F84" s="116"/>
      <c r="G84" s="116"/>
      <c r="H84" s="117"/>
    </row>
    <row r="85" s="77" customFormat="1" ht="20.1" customHeight="1" spans="2:8">
      <c r="B85" s="114"/>
      <c r="C85" s="78"/>
      <c r="D85" s="115"/>
      <c r="E85" s="116"/>
      <c r="F85" s="116"/>
      <c r="G85" s="116"/>
      <c r="H85" s="117"/>
    </row>
    <row r="86" s="77" customFormat="1" ht="20.1" customHeight="1" spans="2:8">
      <c r="B86" s="114"/>
      <c r="C86" s="78"/>
      <c r="D86" s="115"/>
      <c r="E86" s="116"/>
      <c r="F86" s="116"/>
      <c r="G86" s="116"/>
      <c r="H86" s="117"/>
    </row>
    <row r="87" s="78" customFormat="1" ht="20.1" customHeight="1" spans="2:8">
      <c r="B87" s="128"/>
      <c r="C87" s="129"/>
      <c r="D87" s="129"/>
      <c r="E87" s="129"/>
      <c r="F87" s="130"/>
      <c r="G87" s="130"/>
      <c r="H87" s="129"/>
    </row>
    <row r="88" s="77" customFormat="1" ht="20.1" customHeight="1" spans="2:8">
      <c r="B88" s="118"/>
      <c r="C88" s="118"/>
      <c r="D88" s="118"/>
      <c r="E88" s="119"/>
      <c r="F88" s="118"/>
      <c r="G88" s="118"/>
      <c r="H88" s="118"/>
    </row>
    <row r="89" s="77" customFormat="1" ht="20.1" customHeight="1" spans="2:8">
      <c r="B89" s="131"/>
      <c r="C89" s="118"/>
      <c r="D89" s="118"/>
      <c r="E89" s="119"/>
      <c r="F89" s="118"/>
      <c r="G89" s="118"/>
      <c r="H89" s="118"/>
    </row>
    <row r="90" s="77" customFormat="1" ht="20.1" customHeight="1" spans="2:8">
      <c r="B90" s="118"/>
      <c r="C90" s="118"/>
      <c r="D90" s="118"/>
      <c r="E90" s="119"/>
      <c r="F90" s="118"/>
      <c r="G90" s="118"/>
      <c r="H90" s="118"/>
    </row>
    <row r="91" s="77" customFormat="1" ht="20.1" customHeight="1" spans="2:8">
      <c r="B91" s="118"/>
      <c r="C91" s="118"/>
      <c r="D91" s="118"/>
      <c r="E91" s="119"/>
      <c r="F91" s="118"/>
      <c r="G91" s="118"/>
      <c r="H91" s="118"/>
    </row>
    <row r="92" s="77" customFormat="1" ht="20.1" customHeight="1" spans="2:8">
      <c r="B92" s="114"/>
      <c r="C92" s="115"/>
      <c r="D92" s="115"/>
      <c r="E92" s="120"/>
      <c r="F92" s="118"/>
      <c r="G92" s="118"/>
      <c r="H92" s="118"/>
    </row>
    <row r="93" s="77" customFormat="1" ht="20.1" customHeight="1" spans="2:8">
      <c r="B93" s="121"/>
      <c r="D93" s="115"/>
      <c r="E93" s="122"/>
      <c r="F93" s="115"/>
      <c r="G93" s="115"/>
      <c r="H93" s="115"/>
    </row>
    <row r="94" s="77" customFormat="1" ht="20.1" customHeight="1" spans="2:8">
      <c r="B94" s="114"/>
      <c r="C94" s="123"/>
      <c r="D94" s="124"/>
      <c r="E94" s="125"/>
      <c r="F94" s="125"/>
      <c r="G94" s="125"/>
      <c r="H94" s="125"/>
    </row>
    <row r="95" s="77" customFormat="1" ht="20.1" customHeight="1" spans="2:8">
      <c r="B95" s="114"/>
      <c r="C95" s="123"/>
      <c r="D95" s="124"/>
      <c r="E95" s="125"/>
      <c r="F95" s="125"/>
      <c r="G95" s="125"/>
      <c r="H95" s="125"/>
    </row>
    <row r="96" s="77" customFormat="1" ht="20.1" customHeight="1" spans="2:8">
      <c r="B96" s="114"/>
      <c r="C96" s="123"/>
      <c r="D96" s="124"/>
      <c r="E96" s="125"/>
      <c r="F96" s="125"/>
      <c r="G96" s="125"/>
      <c r="H96" s="125"/>
    </row>
    <row r="97" s="77" customFormat="1" ht="20.1" customHeight="1" spans="2:8">
      <c r="B97" s="114"/>
      <c r="C97" s="123"/>
      <c r="D97" s="124"/>
      <c r="E97" s="125"/>
      <c r="F97" s="125"/>
      <c r="G97" s="125"/>
      <c r="H97" s="125"/>
    </row>
    <row r="98" s="77" customFormat="1" ht="20.1" customHeight="1" spans="2:8">
      <c r="B98" s="114"/>
      <c r="C98" s="123"/>
      <c r="D98" s="124"/>
      <c r="E98" s="125"/>
      <c r="F98" s="125"/>
      <c r="G98" s="125"/>
      <c r="H98" s="125"/>
    </row>
    <row r="99" s="77" customFormat="1" ht="20.1" customHeight="1" spans="2:8">
      <c r="B99" s="114"/>
      <c r="C99" s="123"/>
      <c r="D99" s="124"/>
      <c r="E99" s="125"/>
      <c r="F99" s="125"/>
      <c r="G99" s="125"/>
      <c r="H99" s="125"/>
    </row>
    <row r="100" s="77" customFormat="1" ht="20.1" customHeight="1" spans="2:8">
      <c r="B100" s="114"/>
      <c r="C100" s="123"/>
      <c r="D100" s="124"/>
      <c r="E100" s="125"/>
      <c r="F100" s="125"/>
      <c r="G100" s="125"/>
      <c r="H100" s="125"/>
    </row>
    <row r="101" s="77" customFormat="1" ht="20.1" customHeight="1" spans="2:8">
      <c r="B101" s="114"/>
      <c r="C101" s="78"/>
      <c r="D101" s="124"/>
      <c r="E101" s="116"/>
      <c r="F101" s="116"/>
      <c r="G101" s="116"/>
      <c r="H101" s="125"/>
    </row>
    <row r="102" s="77" customFormat="1" ht="20.1" customHeight="1" spans="2:8">
      <c r="B102" s="114"/>
      <c r="C102" s="78"/>
      <c r="D102" s="115"/>
      <c r="E102" s="116"/>
      <c r="F102" s="116"/>
      <c r="G102" s="116"/>
      <c r="H102" s="116"/>
    </row>
    <row r="103" s="77" customFormat="1" ht="20.1" customHeight="1" spans="2:8">
      <c r="B103" s="114"/>
      <c r="C103" s="123"/>
      <c r="D103" s="124"/>
      <c r="E103" s="125"/>
      <c r="F103" s="125"/>
      <c r="G103" s="125"/>
      <c r="H103" s="125"/>
    </row>
    <row r="104" s="77" customFormat="1" ht="20.1" customHeight="1" spans="2:8">
      <c r="B104" s="114"/>
      <c r="C104" s="123"/>
      <c r="D104" s="124"/>
      <c r="E104" s="125"/>
      <c r="F104" s="125"/>
      <c r="G104" s="125"/>
      <c r="H104" s="125"/>
    </row>
    <row r="105" s="77" customFormat="1" ht="20.1" customHeight="1" spans="2:8">
      <c r="B105" s="114"/>
      <c r="C105" s="123"/>
      <c r="D105" s="124"/>
      <c r="E105" s="125"/>
      <c r="F105" s="125"/>
      <c r="G105" s="125"/>
      <c r="H105" s="125"/>
    </row>
    <row r="106" s="77" customFormat="1" ht="20.1" customHeight="1" spans="2:8">
      <c r="B106" s="114"/>
      <c r="C106" s="123"/>
      <c r="D106" s="124"/>
      <c r="E106" s="125"/>
      <c r="F106" s="125"/>
      <c r="G106" s="125"/>
      <c r="H106" s="125"/>
    </row>
    <row r="107" s="77" customFormat="1" ht="20.1" customHeight="1" spans="2:8">
      <c r="B107" s="114"/>
      <c r="C107" s="123"/>
      <c r="D107" s="124"/>
      <c r="E107" s="125"/>
      <c r="F107" s="125"/>
      <c r="G107" s="125"/>
      <c r="H107" s="125"/>
    </row>
    <row r="108" s="77" customFormat="1" ht="20.1" customHeight="1" spans="2:8">
      <c r="B108" s="114"/>
      <c r="C108" s="123"/>
      <c r="D108" s="124"/>
      <c r="E108" s="125"/>
      <c r="F108" s="125"/>
      <c r="G108" s="125"/>
      <c r="H108" s="125"/>
    </row>
    <row r="109" s="77" customFormat="1" ht="20.1" customHeight="1" spans="2:8">
      <c r="B109" s="114"/>
      <c r="C109" s="123"/>
      <c r="D109" s="124"/>
      <c r="E109" s="125"/>
      <c r="F109" s="125"/>
      <c r="G109" s="125"/>
      <c r="H109" s="125"/>
    </row>
    <row r="110" s="77" customFormat="1" ht="20.1" customHeight="1" spans="2:8">
      <c r="B110" s="114"/>
      <c r="C110" s="78"/>
      <c r="D110" s="115"/>
      <c r="E110" s="116"/>
      <c r="F110" s="116"/>
      <c r="G110" s="116"/>
      <c r="H110" s="117"/>
    </row>
    <row r="111" s="77" customFormat="1" ht="20.1" customHeight="1" spans="2:8">
      <c r="B111" s="114"/>
      <c r="C111" s="78"/>
      <c r="D111" s="115"/>
      <c r="E111" s="116"/>
      <c r="F111" s="116"/>
      <c r="G111" s="116"/>
      <c r="H111" s="117"/>
    </row>
    <row r="112" s="77" customFormat="1" ht="20.1" customHeight="1" spans="2:8">
      <c r="B112" s="114"/>
      <c r="C112" s="78"/>
      <c r="D112" s="115"/>
      <c r="E112" s="116"/>
      <c r="F112" s="116"/>
      <c r="G112" s="116"/>
      <c r="H112" s="117"/>
    </row>
    <row r="113" s="77" customFormat="1" ht="20.1" customHeight="1" spans="2:8">
      <c r="B113" s="114"/>
      <c r="C113" s="123"/>
      <c r="D113" s="124"/>
      <c r="E113" s="125"/>
      <c r="F113" s="126"/>
      <c r="G113" s="126"/>
      <c r="H113" s="125"/>
    </row>
    <row r="114" s="77" customFormat="1" ht="20.1" customHeight="1" spans="2:8">
      <c r="B114" s="114"/>
      <c r="C114" s="123"/>
      <c r="D114" s="124"/>
      <c r="E114" s="125"/>
      <c r="F114" s="127"/>
      <c r="G114" s="127"/>
      <c r="H114" s="125"/>
    </row>
    <row r="115" s="77" customFormat="1" ht="20.1" customHeight="1" spans="2:8">
      <c r="B115" s="114"/>
      <c r="C115" s="123"/>
      <c r="D115" s="124"/>
      <c r="E115" s="125"/>
      <c r="F115" s="127"/>
      <c r="G115" s="127"/>
      <c r="H115" s="125"/>
    </row>
    <row r="116" s="77" customFormat="1" ht="20.1" customHeight="1" spans="2:8">
      <c r="B116" s="114"/>
      <c r="C116" s="123"/>
      <c r="D116" s="124"/>
      <c r="E116" s="125"/>
      <c r="F116" s="126"/>
      <c r="G116" s="126"/>
      <c r="H116" s="125"/>
    </row>
    <row r="117" s="77" customFormat="1" ht="20.1" customHeight="1" spans="2:8">
      <c r="B117" s="114"/>
      <c r="C117" s="78"/>
      <c r="D117" s="115"/>
      <c r="E117" s="116"/>
      <c r="F117" s="116"/>
      <c r="G117" s="116"/>
      <c r="H117" s="117"/>
    </row>
    <row r="118" s="77" customFormat="1" ht="20.1" customHeight="1" spans="2:8">
      <c r="B118" s="114"/>
      <c r="C118" s="78"/>
      <c r="D118" s="115"/>
      <c r="E118" s="116"/>
      <c r="F118" s="116"/>
      <c r="G118" s="116"/>
      <c r="H118" s="117"/>
    </row>
    <row r="119" s="77" customFormat="1" ht="20.1" customHeight="1" spans="2:8">
      <c r="B119" s="114"/>
      <c r="C119" s="78"/>
      <c r="D119" s="115"/>
      <c r="E119" s="116"/>
      <c r="F119" s="116"/>
      <c r="G119" s="116"/>
      <c r="H119" s="117"/>
    </row>
    <row r="120" s="77" customFormat="1" ht="20.1" customHeight="1" spans="2:8">
      <c r="B120" s="114"/>
      <c r="C120" s="78"/>
      <c r="D120" s="115"/>
      <c r="E120" s="116"/>
      <c r="F120" s="116"/>
      <c r="G120" s="116"/>
      <c r="H120" s="117"/>
    </row>
    <row r="121" s="77" customFormat="1" ht="20.1" customHeight="1" spans="2:8">
      <c r="B121" s="114"/>
      <c r="C121" s="78"/>
      <c r="D121" s="115"/>
      <c r="E121" s="116"/>
      <c r="F121" s="116"/>
      <c r="G121" s="116"/>
      <c r="H121" s="117"/>
    </row>
    <row r="122" s="77" customFormat="1" ht="20.1" customHeight="1" spans="2:8">
      <c r="B122" s="114"/>
      <c r="C122" s="78"/>
      <c r="D122" s="115"/>
      <c r="E122" s="116"/>
      <c r="F122" s="116"/>
      <c r="G122" s="116"/>
      <c r="H122" s="117"/>
    </row>
    <row r="123" s="78" customFormat="1" ht="20.1" customHeight="1" spans="2:8">
      <c r="B123" s="128"/>
      <c r="C123" s="129"/>
      <c r="D123" s="129"/>
      <c r="E123" s="129"/>
      <c r="F123" s="130"/>
      <c r="G123" s="130"/>
      <c r="H123" s="129"/>
    </row>
    <row r="124" s="77" customFormat="1" ht="20.1" customHeight="1" spans="2:8">
      <c r="B124" s="118"/>
      <c r="C124" s="118"/>
      <c r="D124" s="118"/>
      <c r="E124" s="119"/>
      <c r="F124" s="118"/>
      <c r="G124" s="118"/>
      <c r="H124" s="118"/>
    </row>
    <row r="125" s="77" customFormat="1" ht="20.1" customHeight="1" spans="2:8">
      <c r="B125" s="131"/>
      <c r="C125" s="118"/>
      <c r="D125" s="118"/>
      <c r="E125" s="119"/>
      <c r="F125" s="118"/>
      <c r="G125" s="118"/>
      <c r="H125" s="118"/>
    </row>
    <row r="126" s="77" customFormat="1" ht="20.1" customHeight="1" spans="2:8">
      <c r="B126" s="118"/>
      <c r="C126" s="118"/>
      <c r="D126" s="118"/>
      <c r="E126" s="119"/>
      <c r="F126" s="118"/>
      <c r="G126" s="118"/>
      <c r="H126" s="118"/>
    </row>
    <row r="127" s="77" customFormat="1" ht="20.1" customHeight="1" spans="2:8">
      <c r="B127" s="118"/>
      <c r="C127" s="118"/>
      <c r="D127" s="118"/>
      <c r="E127" s="119"/>
      <c r="F127" s="118"/>
      <c r="G127" s="118"/>
      <c r="H127" s="118"/>
    </row>
    <row r="128" s="77" customFormat="1" ht="20.1" customHeight="1" spans="2:8">
      <c r="B128" s="114"/>
      <c r="C128" s="115"/>
      <c r="D128" s="115"/>
      <c r="E128" s="120"/>
      <c r="F128" s="118"/>
      <c r="G128" s="118"/>
      <c r="H128" s="118"/>
    </row>
    <row r="129" s="77" customFormat="1" ht="20.1" customHeight="1" spans="2:8">
      <c r="B129" s="121"/>
      <c r="D129" s="115"/>
      <c r="E129" s="122"/>
      <c r="F129" s="115"/>
      <c r="G129" s="115"/>
      <c r="H129" s="115"/>
    </row>
    <row r="130" s="77" customFormat="1" ht="20.1" customHeight="1" spans="2:8">
      <c r="B130" s="114"/>
      <c r="C130" s="123"/>
      <c r="D130" s="124"/>
      <c r="E130" s="125"/>
      <c r="F130" s="125"/>
      <c r="G130" s="125"/>
      <c r="H130" s="125"/>
    </row>
    <row r="131" s="77" customFormat="1" ht="20.1" customHeight="1" spans="2:8">
      <c r="B131" s="114"/>
      <c r="C131" s="123"/>
      <c r="D131" s="124"/>
      <c r="E131" s="125"/>
      <c r="F131" s="125"/>
      <c r="G131" s="125"/>
      <c r="H131" s="125"/>
    </row>
    <row r="132" s="77" customFormat="1" ht="20.1" customHeight="1" spans="2:8">
      <c r="B132" s="114"/>
      <c r="C132" s="123"/>
      <c r="D132" s="124"/>
      <c r="E132" s="125"/>
      <c r="F132" s="125"/>
      <c r="G132" s="125"/>
      <c r="H132" s="125"/>
    </row>
    <row r="133" s="77" customFormat="1" ht="20.1" customHeight="1" spans="2:8">
      <c r="B133" s="114"/>
      <c r="C133" s="123"/>
      <c r="D133" s="124"/>
      <c r="E133" s="125"/>
      <c r="F133" s="125"/>
      <c r="G133" s="125"/>
      <c r="H133" s="125"/>
    </row>
    <row r="134" s="77" customFormat="1" ht="20.1" customHeight="1" spans="2:8">
      <c r="B134" s="114"/>
      <c r="C134" s="123"/>
      <c r="D134" s="124"/>
      <c r="E134" s="125"/>
      <c r="F134" s="125"/>
      <c r="G134" s="125"/>
      <c r="H134" s="125"/>
    </row>
    <row r="135" s="77" customFormat="1" ht="20.1" customHeight="1" spans="2:8">
      <c r="B135" s="114"/>
      <c r="C135" s="123"/>
      <c r="D135" s="124"/>
      <c r="E135" s="125"/>
      <c r="F135" s="125"/>
      <c r="G135" s="125"/>
      <c r="H135" s="125"/>
    </row>
    <row r="136" s="77" customFormat="1" ht="20.1" customHeight="1" spans="2:8">
      <c r="B136" s="114"/>
      <c r="C136" s="123"/>
      <c r="D136" s="124"/>
      <c r="E136" s="125"/>
      <c r="F136" s="125"/>
      <c r="G136" s="125"/>
      <c r="H136" s="125"/>
    </row>
    <row r="137" s="77" customFormat="1" ht="20.1" customHeight="1" spans="2:8">
      <c r="B137" s="114"/>
      <c r="C137" s="78"/>
      <c r="D137" s="124"/>
      <c r="E137" s="116"/>
      <c r="F137" s="116"/>
      <c r="G137" s="116"/>
      <c r="H137" s="125"/>
    </row>
    <row r="138" s="77" customFormat="1" ht="20.1" customHeight="1" spans="2:8">
      <c r="B138" s="114"/>
      <c r="C138" s="78"/>
      <c r="D138" s="115"/>
      <c r="E138" s="116"/>
      <c r="F138" s="116"/>
      <c r="G138" s="116"/>
      <c r="H138" s="116"/>
    </row>
    <row r="139" s="77" customFormat="1" ht="20.1" customHeight="1" spans="2:8">
      <c r="B139" s="114"/>
      <c r="C139" s="123"/>
      <c r="D139" s="124"/>
      <c r="E139" s="125"/>
      <c r="F139" s="125"/>
      <c r="G139" s="125"/>
      <c r="H139" s="125"/>
    </row>
    <row r="140" s="77" customFormat="1" ht="20.1" customHeight="1" spans="2:8">
      <c r="B140" s="114"/>
      <c r="C140" s="123"/>
      <c r="D140" s="124"/>
      <c r="E140" s="125"/>
      <c r="F140" s="125"/>
      <c r="G140" s="125"/>
      <c r="H140" s="125"/>
    </row>
    <row r="141" s="77" customFormat="1" ht="20.1" customHeight="1" spans="2:8">
      <c r="B141" s="114"/>
      <c r="C141" s="123"/>
      <c r="D141" s="124"/>
      <c r="E141" s="125"/>
      <c r="F141" s="125"/>
      <c r="G141" s="125"/>
      <c r="H141" s="125"/>
    </row>
    <row r="142" s="77" customFormat="1" ht="20.1" customHeight="1" spans="2:8">
      <c r="B142" s="114"/>
      <c r="C142" s="123"/>
      <c r="D142" s="124"/>
      <c r="E142" s="125"/>
      <c r="F142" s="125"/>
      <c r="G142" s="125"/>
      <c r="H142" s="125"/>
    </row>
    <row r="143" s="77" customFormat="1" ht="20.1" customHeight="1" spans="2:8">
      <c r="B143" s="114"/>
      <c r="C143" s="123"/>
      <c r="D143" s="124"/>
      <c r="E143" s="125"/>
      <c r="F143" s="125"/>
      <c r="G143" s="125"/>
      <c r="H143" s="125"/>
    </row>
    <row r="144" s="77" customFormat="1" ht="20.1" customHeight="1" spans="2:8">
      <c r="B144" s="114"/>
      <c r="C144" s="123"/>
      <c r="D144" s="124"/>
      <c r="E144" s="125"/>
      <c r="F144" s="125"/>
      <c r="G144" s="125"/>
      <c r="H144" s="125"/>
    </row>
    <row r="145" s="77" customFormat="1" ht="20.1" customHeight="1" spans="2:8">
      <c r="B145" s="114"/>
      <c r="C145" s="123"/>
      <c r="D145" s="124"/>
      <c r="E145" s="125"/>
      <c r="F145" s="125"/>
      <c r="G145" s="125"/>
      <c r="H145" s="125"/>
    </row>
    <row r="146" s="77" customFormat="1" ht="20.1" customHeight="1" spans="2:8">
      <c r="B146" s="114"/>
      <c r="C146" s="78"/>
      <c r="D146" s="115"/>
      <c r="E146" s="116"/>
      <c r="F146" s="116"/>
      <c r="G146" s="116"/>
      <c r="H146" s="117"/>
    </row>
    <row r="147" s="77" customFormat="1" ht="20.1" customHeight="1" spans="2:8">
      <c r="B147" s="114"/>
      <c r="C147" s="78"/>
      <c r="D147" s="115"/>
      <c r="E147" s="116"/>
      <c r="F147" s="116"/>
      <c r="G147" s="116"/>
      <c r="H147" s="117"/>
    </row>
    <row r="148" s="77" customFormat="1" ht="20.1" customHeight="1" spans="2:8">
      <c r="B148" s="114"/>
      <c r="C148" s="78"/>
      <c r="D148" s="115"/>
      <c r="E148" s="116"/>
      <c r="F148" s="116"/>
      <c r="G148" s="116"/>
      <c r="H148" s="117"/>
    </row>
    <row r="149" s="77" customFormat="1" ht="20.1" customHeight="1" spans="2:8">
      <c r="B149" s="114"/>
      <c r="C149" s="123"/>
      <c r="D149" s="124"/>
      <c r="E149" s="125"/>
      <c r="F149" s="126"/>
      <c r="G149" s="126"/>
      <c r="H149" s="125"/>
    </row>
    <row r="150" s="77" customFormat="1" ht="20.1" customHeight="1" spans="2:8">
      <c r="B150" s="114"/>
      <c r="C150" s="123"/>
      <c r="D150" s="124"/>
      <c r="E150" s="125"/>
      <c r="F150" s="127"/>
      <c r="G150" s="127"/>
      <c r="H150" s="125"/>
    </row>
    <row r="151" s="77" customFormat="1" ht="20.1" customHeight="1" spans="2:8">
      <c r="B151" s="114"/>
      <c r="C151" s="123"/>
      <c r="D151" s="124"/>
      <c r="E151" s="125"/>
      <c r="F151" s="127"/>
      <c r="G151" s="127"/>
      <c r="H151" s="125"/>
    </row>
    <row r="152" s="77" customFormat="1" ht="20.1" customHeight="1" spans="2:8">
      <c r="B152" s="114"/>
      <c r="C152" s="123"/>
      <c r="D152" s="124"/>
      <c r="E152" s="125"/>
      <c r="F152" s="126"/>
      <c r="G152" s="126"/>
      <c r="H152" s="125"/>
    </row>
    <row r="153" s="77" customFormat="1" ht="20.1" customHeight="1" spans="2:8">
      <c r="B153" s="114"/>
      <c r="C153" s="78"/>
      <c r="D153" s="115"/>
      <c r="E153" s="116"/>
      <c r="F153" s="116"/>
      <c r="G153" s="116"/>
      <c r="H153" s="117"/>
    </row>
    <row r="154" s="77" customFormat="1" ht="20.1" customHeight="1" spans="2:8">
      <c r="B154" s="114"/>
      <c r="C154" s="78"/>
      <c r="D154" s="115"/>
      <c r="E154" s="116"/>
      <c r="F154" s="116"/>
      <c r="G154" s="116"/>
      <c r="H154" s="117"/>
    </row>
    <row r="155" s="77" customFormat="1" ht="20.1" customHeight="1" spans="2:8">
      <c r="B155" s="114"/>
      <c r="C155" s="78"/>
      <c r="D155" s="115"/>
      <c r="E155" s="116"/>
      <c r="F155" s="116"/>
      <c r="G155" s="116"/>
      <c r="H155" s="117"/>
    </row>
    <row r="156" s="77" customFormat="1" ht="20.1" customHeight="1" spans="2:8">
      <c r="B156" s="114"/>
      <c r="C156" s="78"/>
      <c r="D156" s="115"/>
      <c r="E156" s="116"/>
      <c r="F156" s="116"/>
      <c r="G156" s="116"/>
      <c r="H156" s="117"/>
    </row>
    <row r="157" s="77" customFormat="1" ht="20.1" customHeight="1" spans="2:8">
      <c r="B157" s="114"/>
      <c r="C157" s="78"/>
      <c r="D157" s="115"/>
      <c r="E157" s="116"/>
      <c r="F157" s="116"/>
      <c r="G157" s="116"/>
      <c r="H157" s="117"/>
    </row>
    <row r="158" s="77" customFormat="1" ht="20.1" customHeight="1" spans="2:8">
      <c r="B158" s="114"/>
      <c r="C158" s="78"/>
      <c r="D158" s="115"/>
      <c r="E158" s="116"/>
      <c r="F158" s="116"/>
      <c r="G158" s="116"/>
      <c r="H158" s="117"/>
    </row>
    <row r="159" s="78" customFormat="1" ht="20.1" customHeight="1" spans="2:8">
      <c r="B159" s="128"/>
      <c r="C159" s="129"/>
      <c r="D159" s="129"/>
      <c r="E159" s="129"/>
      <c r="F159" s="130"/>
      <c r="G159" s="130"/>
      <c r="H159" s="129"/>
    </row>
    <row r="160" s="77" customFormat="1" ht="20.1" customHeight="1" spans="2:8">
      <c r="B160" s="118"/>
      <c r="C160" s="118"/>
      <c r="D160" s="118"/>
      <c r="E160" s="119"/>
      <c r="F160" s="118"/>
      <c r="G160" s="118"/>
      <c r="H160" s="118"/>
    </row>
    <row r="161" s="77" customFormat="1" ht="20.1" customHeight="1" spans="2:8">
      <c r="B161" s="131"/>
      <c r="C161" s="118"/>
      <c r="D161" s="118"/>
      <c r="E161" s="119"/>
      <c r="F161" s="118"/>
      <c r="G161" s="118"/>
      <c r="H161" s="118"/>
    </row>
    <row r="162" s="77" customFormat="1" ht="20.1" customHeight="1" spans="2:8">
      <c r="B162" s="118"/>
      <c r="C162" s="118"/>
      <c r="D162" s="118"/>
      <c r="E162" s="119"/>
      <c r="F162" s="118"/>
      <c r="G162" s="118"/>
      <c r="H162" s="118"/>
    </row>
    <row r="163" s="77" customFormat="1" ht="20.1" customHeight="1" spans="2:8">
      <c r="B163" s="118"/>
      <c r="C163" s="118"/>
      <c r="D163" s="118"/>
      <c r="E163" s="119"/>
      <c r="F163" s="118"/>
      <c r="G163" s="118"/>
      <c r="H163" s="118"/>
    </row>
    <row r="164" s="77" customFormat="1" ht="20.1" customHeight="1" spans="2:8">
      <c r="B164" s="114"/>
      <c r="C164" s="115"/>
      <c r="D164" s="115"/>
      <c r="E164" s="120"/>
      <c r="F164" s="118"/>
      <c r="G164" s="118"/>
      <c r="H164" s="118"/>
    </row>
    <row r="165" s="77" customFormat="1" ht="20.1" customHeight="1" spans="2:8">
      <c r="B165" s="121"/>
      <c r="D165" s="115"/>
      <c r="E165" s="122"/>
      <c r="F165" s="115"/>
      <c r="G165" s="115"/>
      <c r="H165" s="115"/>
    </row>
    <row r="166" s="77" customFormat="1" ht="20.1" customHeight="1" spans="2:8">
      <c r="B166" s="114"/>
      <c r="C166" s="123"/>
      <c r="D166" s="124"/>
      <c r="E166" s="125"/>
      <c r="F166" s="125"/>
      <c r="G166" s="125"/>
      <c r="H166" s="125"/>
    </row>
    <row r="167" s="77" customFormat="1" ht="20.1" customHeight="1" spans="2:8">
      <c r="B167" s="114"/>
      <c r="C167" s="123"/>
      <c r="D167" s="124"/>
      <c r="E167" s="125"/>
      <c r="F167" s="125"/>
      <c r="G167" s="125"/>
      <c r="H167" s="125"/>
    </row>
    <row r="168" s="77" customFormat="1" ht="20.1" customHeight="1" spans="2:8">
      <c r="B168" s="114"/>
      <c r="C168" s="123"/>
      <c r="D168" s="124"/>
      <c r="E168" s="125"/>
      <c r="F168" s="125"/>
      <c r="G168" s="125"/>
      <c r="H168" s="125"/>
    </row>
    <row r="169" s="77" customFormat="1" ht="20.1" customHeight="1" spans="2:8">
      <c r="B169" s="114"/>
      <c r="C169" s="123"/>
      <c r="D169" s="124"/>
      <c r="E169" s="125"/>
      <c r="F169" s="125"/>
      <c r="G169" s="125"/>
      <c r="H169" s="125"/>
    </row>
    <row r="170" s="77" customFormat="1" ht="20.1" customHeight="1" spans="2:8">
      <c r="B170" s="114"/>
      <c r="C170" s="123"/>
      <c r="D170" s="124"/>
      <c r="E170" s="125"/>
      <c r="F170" s="125"/>
      <c r="G170" s="125"/>
      <c r="H170" s="125"/>
    </row>
    <row r="171" s="77" customFormat="1" ht="20.1" customHeight="1" spans="2:8">
      <c r="B171" s="114"/>
      <c r="C171" s="123"/>
      <c r="D171" s="124"/>
      <c r="E171" s="125"/>
      <c r="F171" s="125"/>
      <c r="G171" s="125"/>
      <c r="H171" s="125"/>
    </row>
    <row r="172" s="77" customFormat="1" ht="20.1" customHeight="1" spans="2:8">
      <c r="B172" s="114"/>
      <c r="C172" s="123"/>
      <c r="D172" s="124"/>
      <c r="E172" s="125"/>
      <c r="F172" s="125"/>
      <c r="G172" s="125"/>
      <c r="H172" s="125"/>
    </row>
    <row r="173" s="77" customFormat="1" ht="20.1" customHeight="1" spans="2:8">
      <c r="B173" s="114"/>
      <c r="C173" s="78"/>
      <c r="D173" s="124"/>
      <c r="E173" s="116"/>
      <c r="F173" s="116"/>
      <c r="G173" s="116"/>
      <c r="H173" s="125"/>
    </row>
    <row r="174" s="77" customFormat="1" ht="20.1" customHeight="1" spans="2:8">
      <c r="B174" s="114"/>
      <c r="C174" s="78"/>
      <c r="D174" s="115"/>
      <c r="E174" s="116"/>
      <c r="F174" s="116"/>
      <c r="G174" s="116"/>
      <c r="H174" s="116"/>
    </row>
    <row r="175" s="77" customFormat="1" ht="20.1" customHeight="1" spans="2:8">
      <c r="B175" s="114"/>
      <c r="C175" s="123"/>
      <c r="D175" s="124"/>
      <c r="E175" s="125"/>
      <c r="F175" s="125"/>
      <c r="G175" s="125"/>
      <c r="H175" s="125"/>
    </row>
    <row r="176" s="77" customFormat="1" ht="20.1" customHeight="1" spans="2:8">
      <c r="B176" s="114"/>
      <c r="C176" s="123"/>
      <c r="D176" s="124"/>
      <c r="E176" s="125"/>
      <c r="F176" s="125"/>
      <c r="G176" s="125"/>
      <c r="H176" s="125"/>
    </row>
    <row r="177" s="77" customFormat="1" ht="20.1" customHeight="1" spans="2:8">
      <c r="B177" s="114"/>
      <c r="C177" s="123"/>
      <c r="D177" s="124"/>
      <c r="E177" s="125"/>
      <c r="F177" s="125"/>
      <c r="G177" s="125"/>
      <c r="H177" s="125"/>
    </row>
    <row r="178" s="77" customFormat="1" ht="20.1" customHeight="1" spans="2:8">
      <c r="B178" s="114"/>
      <c r="C178" s="123"/>
      <c r="D178" s="124"/>
      <c r="E178" s="125"/>
      <c r="F178" s="125"/>
      <c r="G178" s="125"/>
      <c r="H178" s="125"/>
    </row>
    <row r="179" s="77" customFormat="1" ht="20.1" customHeight="1" spans="2:8">
      <c r="B179" s="114"/>
      <c r="C179" s="123"/>
      <c r="D179" s="124"/>
      <c r="E179" s="125"/>
      <c r="F179" s="125"/>
      <c r="G179" s="125"/>
      <c r="H179" s="125"/>
    </row>
    <row r="180" s="77" customFormat="1" ht="20.1" customHeight="1" spans="2:8">
      <c r="B180" s="114"/>
      <c r="C180" s="123"/>
      <c r="D180" s="124"/>
      <c r="E180" s="125"/>
      <c r="F180" s="125"/>
      <c r="G180" s="125"/>
      <c r="H180" s="125"/>
    </row>
    <row r="181" s="77" customFormat="1" ht="20.1" customHeight="1" spans="2:8">
      <c r="B181" s="114"/>
      <c r="C181" s="123"/>
      <c r="D181" s="124"/>
      <c r="E181" s="125"/>
      <c r="F181" s="125"/>
      <c r="G181" s="125"/>
      <c r="H181" s="125"/>
    </row>
    <row r="182" s="77" customFormat="1" ht="20.1" customHeight="1" spans="2:8">
      <c r="B182" s="114"/>
      <c r="C182" s="78"/>
      <c r="D182" s="115"/>
      <c r="E182" s="116"/>
      <c r="F182" s="116"/>
      <c r="G182" s="116"/>
      <c r="H182" s="117"/>
    </row>
    <row r="183" s="77" customFormat="1" ht="20.1" customHeight="1" spans="2:8">
      <c r="B183" s="114"/>
      <c r="C183" s="78"/>
      <c r="D183" s="115"/>
      <c r="E183" s="116"/>
      <c r="F183" s="116"/>
      <c r="G183" s="116"/>
      <c r="H183" s="117"/>
    </row>
    <row r="184" s="77" customFormat="1" ht="20.1" customHeight="1" spans="2:8">
      <c r="B184" s="114"/>
      <c r="C184" s="78"/>
      <c r="D184" s="115"/>
      <c r="E184" s="116"/>
      <c r="F184" s="116"/>
      <c r="G184" s="116"/>
      <c r="H184" s="117"/>
    </row>
    <row r="185" s="77" customFormat="1" ht="20.1" customHeight="1" spans="2:8">
      <c r="B185" s="114"/>
      <c r="C185" s="123"/>
      <c r="D185" s="124"/>
      <c r="E185" s="125"/>
      <c r="F185" s="126"/>
      <c r="G185" s="126"/>
      <c r="H185" s="125"/>
    </row>
    <row r="186" s="77" customFormat="1" ht="20.1" customHeight="1" spans="2:8">
      <c r="B186" s="114"/>
      <c r="C186" s="123"/>
      <c r="D186" s="124"/>
      <c r="E186" s="125"/>
      <c r="F186" s="127"/>
      <c r="G186" s="127"/>
      <c r="H186" s="125"/>
    </row>
    <row r="187" s="77" customFormat="1" ht="20.1" customHeight="1" spans="2:8">
      <c r="B187" s="114"/>
      <c r="C187" s="123"/>
      <c r="D187" s="124"/>
      <c r="E187" s="125"/>
      <c r="F187" s="127"/>
      <c r="G187" s="127"/>
      <c r="H187" s="125"/>
    </row>
    <row r="188" s="77" customFormat="1" ht="20.1" customHeight="1" spans="2:8">
      <c r="B188" s="114"/>
      <c r="C188" s="123"/>
      <c r="D188" s="124"/>
      <c r="E188" s="125"/>
      <c r="F188" s="126"/>
      <c r="G188" s="126"/>
      <c r="H188" s="125"/>
    </row>
    <row r="189" s="77" customFormat="1" ht="20.1" customHeight="1" spans="2:8">
      <c r="B189" s="114"/>
      <c r="C189" s="78"/>
      <c r="D189" s="115"/>
      <c r="E189" s="116"/>
      <c r="F189" s="116"/>
      <c r="G189" s="116"/>
      <c r="H189" s="117"/>
    </row>
    <row r="190" s="77" customFormat="1" ht="20.1" customHeight="1" spans="2:8">
      <c r="B190" s="114"/>
      <c r="C190" s="78"/>
      <c r="D190" s="115"/>
      <c r="E190" s="116"/>
      <c r="F190" s="116"/>
      <c r="G190" s="116"/>
      <c r="H190" s="117"/>
    </row>
    <row r="191" s="77" customFormat="1" ht="20.1" customHeight="1" spans="2:8">
      <c r="B191" s="114"/>
      <c r="C191" s="78"/>
      <c r="D191" s="115"/>
      <c r="E191" s="116"/>
      <c r="F191" s="116"/>
      <c r="G191" s="116"/>
      <c r="H191" s="117"/>
    </row>
    <row r="192" s="77" customFormat="1" ht="20.1" customHeight="1" spans="2:8">
      <c r="B192" s="114"/>
      <c r="C192" s="78"/>
      <c r="D192" s="115"/>
      <c r="E192" s="116"/>
      <c r="F192" s="116"/>
      <c r="G192" s="116"/>
      <c r="H192" s="117"/>
    </row>
    <row r="193" s="77" customFormat="1" ht="20.1" customHeight="1" spans="2:8">
      <c r="B193" s="114"/>
      <c r="C193" s="78"/>
      <c r="D193" s="115"/>
      <c r="E193" s="116"/>
      <c r="F193" s="116"/>
      <c r="G193" s="116"/>
      <c r="H193" s="117"/>
    </row>
    <row r="194" s="77" customFormat="1" ht="20.1" customHeight="1" spans="2:8">
      <c r="B194" s="114"/>
      <c r="C194" s="78"/>
      <c r="D194" s="115"/>
      <c r="E194" s="116"/>
      <c r="F194" s="116"/>
      <c r="G194" s="116"/>
      <c r="H194" s="117"/>
    </row>
    <row r="195" s="78" customFormat="1" ht="20.1" customHeight="1" spans="2:8">
      <c r="B195" s="128"/>
      <c r="C195" s="129"/>
      <c r="D195" s="129"/>
      <c r="E195" s="129"/>
      <c r="F195" s="130"/>
      <c r="G195" s="130"/>
      <c r="H195" s="129"/>
    </row>
    <row r="196" s="77" customFormat="1" ht="20.1" customHeight="1" spans="2:8">
      <c r="B196" s="118"/>
      <c r="C196" s="118"/>
      <c r="D196" s="118"/>
      <c r="E196" s="119"/>
      <c r="F196" s="118"/>
      <c r="G196" s="118"/>
      <c r="H196" s="118"/>
    </row>
    <row r="197" s="77" customFormat="1" ht="20.1" customHeight="1" spans="2:8">
      <c r="B197" s="131"/>
      <c r="C197" s="118"/>
      <c r="D197" s="118"/>
      <c r="E197" s="119"/>
      <c r="F197" s="118"/>
      <c r="G197" s="118"/>
      <c r="H197" s="118"/>
    </row>
    <row r="198" s="77" customFormat="1" ht="20.1" customHeight="1" spans="2:8">
      <c r="B198" s="118"/>
      <c r="C198" s="118"/>
      <c r="D198" s="118"/>
      <c r="E198" s="119"/>
      <c r="F198" s="118"/>
      <c r="G198" s="118"/>
      <c r="H198" s="118"/>
    </row>
    <row r="199" s="77" customFormat="1" ht="20.1" customHeight="1" spans="2:8">
      <c r="B199" s="118"/>
      <c r="C199" s="118"/>
      <c r="D199" s="118"/>
      <c r="E199" s="119"/>
      <c r="F199" s="118"/>
      <c r="G199" s="118"/>
      <c r="H199" s="118"/>
    </row>
    <row r="200" s="77" customFormat="1" ht="20.1" customHeight="1" spans="2:8">
      <c r="B200" s="114"/>
      <c r="C200" s="115"/>
      <c r="D200" s="115"/>
      <c r="E200" s="120"/>
      <c r="F200" s="118"/>
      <c r="G200" s="118"/>
      <c r="H200" s="118"/>
    </row>
    <row r="201" s="77" customFormat="1" ht="20.1" customHeight="1" spans="2:8">
      <c r="B201" s="121"/>
      <c r="D201" s="115"/>
      <c r="E201" s="122"/>
      <c r="F201" s="115"/>
      <c r="G201" s="115"/>
      <c r="H201" s="115"/>
    </row>
    <row r="202" s="77" customFormat="1" ht="20.1" customHeight="1" spans="2:8">
      <c r="B202" s="114"/>
      <c r="C202" s="123"/>
      <c r="D202" s="124"/>
      <c r="E202" s="125"/>
      <c r="F202" s="125"/>
      <c r="G202" s="125"/>
      <c r="H202" s="125"/>
    </row>
    <row r="203" s="77" customFormat="1" ht="20.1" customHeight="1" spans="2:8">
      <c r="B203" s="114"/>
      <c r="C203" s="123"/>
      <c r="D203" s="124"/>
      <c r="E203" s="125"/>
      <c r="F203" s="125"/>
      <c r="G203" s="125"/>
      <c r="H203" s="125"/>
    </row>
    <row r="204" s="77" customFormat="1" ht="20.1" customHeight="1" spans="2:8">
      <c r="B204" s="114"/>
      <c r="C204" s="123"/>
      <c r="D204" s="124"/>
      <c r="E204" s="125"/>
      <c r="F204" s="125"/>
      <c r="G204" s="125"/>
      <c r="H204" s="125"/>
    </row>
    <row r="205" s="77" customFormat="1" ht="20.1" customHeight="1" spans="2:8">
      <c r="B205" s="114"/>
      <c r="C205" s="123"/>
      <c r="D205" s="124"/>
      <c r="E205" s="125"/>
      <c r="F205" s="125"/>
      <c r="G205" s="125"/>
      <c r="H205" s="125"/>
    </row>
    <row r="206" s="77" customFormat="1" ht="20.1" customHeight="1" spans="2:8">
      <c r="B206" s="114"/>
      <c r="C206" s="123"/>
      <c r="D206" s="124"/>
      <c r="E206" s="125"/>
      <c r="F206" s="125"/>
      <c r="G206" s="125"/>
      <c r="H206" s="125"/>
    </row>
    <row r="207" s="77" customFormat="1" ht="20.1" customHeight="1" spans="2:8">
      <c r="B207" s="114"/>
      <c r="C207" s="123"/>
      <c r="D207" s="124"/>
      <c r="E207" s="125"/>
      <c r="F207" s="125"/>
      <c r="G207" s="125"/>
      <c r="H207" s="125"/>
    </row>
    <row r="208" s="77" customFormat="1" ht="20.1" customHeight="1" spans="2:8">
      <c r="B208" s="114"/>
      <c r="C208" s="123"/>
      <c r="D208" s="124"/>
      <c r="E208" s="125"/>
      <c r="F208" s="125"/>
      <c r="G208" s="125"/>
      <c r="H208" s="125"/>
    </row>
    <row r="209" s="77" customFormat="1" ht="20.1" customHeight="1" spans="2:8">
      <c r="B209" s="114"/>
      <c r="C209" s="78"/>
      <c r="D209" s="124"/>
      <c r="E209" s="116"/>
      <c r="F209" s="116"/>
      <c r="G209" s="116"/>
      <c r="H209" s="125"/>
    </row>
    <row r="210" s="77" customFormat="1" ht="20.1" customHeight="1" spans="2:8">
      <c r="B210" s="114"/>
      <c r="C210" s="78"/>
      <c r="D210" s="115"/>
      <c r="E210" s="116"/>
      <c r="F210" s="116"/>
      <c r="G210" s="116"/>
      <c r="H210" s="116"/>
    </row>
    <row r="211" s="77" customFormat="1" ht="20.1" customHeight="1" spans="2:8">
      <c r="B211" s="114"/>
      <c r="C211" s="123"/>
      <c r="D211" s="124"/>
      <c r="E211" s="125"/>
      <c r="F211" s="125"/>
      <c r="G211" s="125"/>
      <c r="H211" s="125"/>
    </row>
    <row r="212" s="77" customFormat="1" ht="20.1" customHeight="1" spans="2:8">
      <c r="B212" s="114"/>
      <c r="C212" s="123"/>
      <c r="D212" s="124"/>
      <c r="E212" s="125"/>
      <c r="F212" s="125"/>
      <c r="G212" s="125"/>
      <c r="H212" s="125"/>
    </row>
    <row r="213" s="77" customFormat="1" ht="20.1" customHeight="1" spans="2:8">
      <c r="B213" s="114"/>
      <c r="C213" s="123"/>
      <c r="D213" s="124"/>
      <c r="E213" s="125"/>
      <c r="F213" s="125"/>
      <c r="G213" s="125"/>
      <c r="H213" s="125"/>
    </row>
    <row r="214" s="77" customFormat="1" ht="20.1" customHeight="1" spans="2:8">
      <c r="B214" s="114"/>
      <c r="C214" s="123"/>
      <c r="D214" s="124"/>
      <c r="E214" s="125"/>
      <c r="F214" s="125"/>
      <c r="G214" s="125"/>
      <c r="H214" s="125"/>
    </row>
    <row r="215" s="77" customFormat="1" ht="20.1" customHeight="1" spans="2:8">
      <c r="B215" s="114"/>
      <c r="C215" s="123"/>
      <c r="D215" s="124"/>
      <c r="E215" s="125"/>
      <c r="F215" s="125"/>
      <c r="G215" s="125"/>
      <c r="H215" s="125"/>
    </row>
    <row r="216" s="77" customFormat="1" ht="20.1" customHeight="1" spans="2:8">
      <c r="B216" s="114"/>
      <c r="C216" s="123"/>
      <c r="D216" s="124"/>
      <c r="E216" s="125"/>
      <c r="F216" s="125"/>
      <c r="G216" s="125"/>
      <c r="H216" s="125"/>
    </row>
    <row r="217" s="77" customFormat="1" ht="20.1" customHeight="1" spans="2:8">
      <c r="B217" s="114"/>
      <c r="C217" s="123"/>
      <c r="D217" s="124"/>
      <c r="E217" s="125"/>
      <c r="F217" s="125"/>
      <c r="G217" s="125"/>
      <c r="H217" s="125"/>
    </row>
    <row r="218" s="77" customFormat="1" ht="20.1" customHeight="1" spans="2:8">
      <c r="B218" s="114"/>
      <c r="C218" s="78"/>
      <c r="D218" s="115"/>
      <c r="E218" s="116"/>
      <c r="F218" s="116"/>
      <c r="G218" s="116"/>
      <c r="H218" s="117"/>
    </row>
    <row r="219" s="77" customFormat="1" ht="20.1" customHeight="1" spans="2:8">
      <c r="B219" s="114"/>
      <c r="C219" s="78"/>
      <c r="D219" s="115"/>
      <c r="E219" s="116"/>
      <c r="F219" s="116"/>
      <c r="G219" s="116"/>
      <c r="H219" s="117"/>
    </row>
    <row r="220" s="77" customFormat="1" ht="20.1" customHeight="1" spans="2:8">
      <c r="B220" s="114"/>
      <c r="C220" s="78"/>
      <c r="D220" s="115"/>
      <c r="E220" s="116"/>
      <c r="F220" s="116"/>
      <c r="G220" s="116"/>
      <c r="H220" s="117"/>
    </row>
    <row r="221" s="77" customFormat="1" ht="20.1" customHeight="1" spans="2:8">
      <c r="B221" s="114"/>
      <c r="C221" s="123"/>
      <c r="D221" s="124"/>
      <c r="E221" s="125"/>
      <c r="F221" s="126"/>
      <c r="G221" s="126"/>
      <c r="H221" s="125"/>
    </row>
    <row r="222" s="77" customFormat="1" ht="20.1" customHeight="1" spans="2:8">
      <c r="B222" s="114"/>
      <c r="C222" s="123"/>
      <c r="D222" s="124"/>
      <c r="E222" s="125"/>
      <c r="F222" s="127"/>
      <c r="G222" s="127"/>
      <c r="H222" s="125"/>
    </row>
    <row r="223" s="77" customFormat="1" ht="20.1" customHeight="1" spans="2:8">
      <c r="B223" s="114"/>
      <c r="C223" s="123"/>
      <c r="D223" s="124"/>
      <c r="E223" s="125"/>
      <c r="F223" s="127"/>
      <c r="G223" s="127"/>
      <c r="H223" s="125"/>
    </row>
    <row r="224" s="77" customFormat="1" ht="20.1" customHeight="1" spans="2:8">
      <c r="B224" s="114"/>
      <c r="C224" s="123"/>
      <c r="D224" s="124"/>
      <c r="E224" s="125"/>
      <c r="F224" s="126"/>
      <c r="G224" s="126"/>
      <c r="H224" s="125"/>
    </row>
    <row r="225" s="77" customFormat="1" ht="20.1" customHeight="1" spans="2:8">
      <c r="B225" s="114"/>
      <c r="C225" s="78"/>
      <c r="D225" s="115"/>
      <c r="E225" s="116"/>
      <c r="F225" s="116"/>
      <c r="G225" s="116"/>
      <c r="H225" s="117"/>
    </row>
    <row r="226" s="77" customFormat="1" ht="20.1" customHeight="1" spans="2:8">
      <c r="B226" s="114"/>
      <c r="C226" s="78"/>
      <c r="D226" s="115"/>
      <c r="E226" s="116"/>
      <c r="F226" s="116"/>
      <c r="G226" s="116"/>
      <c r="H226" s="117"/>
    </row>
    <row r="227" s="77" customFormat="1" ht="20.1" customHeight="1" spans="2:8">
      <c r="B227" s="114"/>
      <c r="C227" s="78"/>
      <c r="D227" s="115"/>
      <c r="E227" s="116"/>
      <c r="F227" s="116"/>
      <c r="G227" s="116"/>
      <c r="H227" s="117"/>
    </row>
    <row r="228" s="77" customFormat="1" ht="20.1" customHeight="1" spans="2:8">
      <c r="B228" s="114"/>
      <c r="C228" s="78"/>
      <c r="D228" s="115"/>
      <c r="E228" s="116"/>
      <c r="F228" s="116"/>
      <c r="G228" s="116"/>
      <c r="H228" s="117"/>
    </row>
    <row r="229" s="77" customFormat="1" ht="20.1" customHeight="1" spans="2:8">
      <c r="B229" s="114"/>
      <c r="C229" s="78"/>
      <c r="D229" s="115"/>
      <c r="E229" s="116"/>
      <c r="F229" s="116"/>
      <c r="G229" s="116"/>
      <c r="H229" s="117"/>
    </row>
    <row r="230" s="77" customFormat="1" ht="20.1" customHeight="1" spans="2:8">
      <c r="B230" s="114"/>
      <c r="C230" s="78"/>
      <c r="D230" s="115"/>
      <c r="E230" s="116"/>
      <c r="F230" s="116"/>
      <c r="G230" s="116"/>
      <c r="H230" s="117"/>
    </row>
    <row r="231" s="78" customFormat="1" ht="20.1" customHeight="1" spans="2:8">
      <c r="B231" s="128"/>
      <c r="C231" s="129"/>
      <c r="D231" s="129"/>
      <c r="E231" s="129"/>
      <c r="F231" s="130"/>
      <c r="G231" s="130"/>
      <c r="H231" s="129"/>
    </row>
    <row r="232" s="77" customFormat="1" ht="20.1" customHeight="1" spans="2:8">
      <c r="B232" s="118"/>
      <c r="C232" s="118"/>
      <c r="D232" s="118"/>
      <c r="E232" s="119"/>
      <c r="F232" s="118"/>
      <c r="G232" s="118"/>
      <c r="H232" s="118"/>
    </row>
    <row r="233" s="77" customFormat="1" ht="20.1" customHeight="1" spans="2:8">
      <c r="B233" s="131"/>
      <c r="C233" s="118"/>
      <c r="D233" s="118"/>
      <c r="E233" s="119"/>
      <c r="F233" s="118"/>
      <c r="G233" s="118"/>
      <c r="H233" s="118"/>
    </row>
    <row r="234" s="77" customFormat="1" ht="20.1" customHeight="1" spans="2:8">
      <c r="B234" s="118"/>
      <c r="C234" s="118"/>
      <c r="D234" s="118"/>
      <c r="E234" s="119"/>
      <c r="F234" s="118"/>
      <c r="G234" s="118"/>
      <c r="H234" s="118"/>
    </row>
    <row r="235" s="77" customFormat="1" ht="20.1" customHeight="1" spans="2:8">
      <c r="B235" s="118"/>
      <c r="C235" s="118"/>
      <c r="D235" s="118"/>
      <c r="E235" s="119"/>
      <c r="F235" s="118"/>
      <c r="G235" s="118"/>
      <c r="H235" s="118"/>
    </row>
    <row r="236" s="77" customFormat="1" ht="20.1" customHeight="1" spans="2:8">
      <c r="B236" s="114"/>
      <c r="C236" s="115"/>
      <c r="D236" s="115"/>
      <c r="E236" s="120"/>
      <c r="F236" s="118"/>
      <c r="G236" s="118"/>
      <c r="H236" s="118"/>
    </row>
    <row r="237" s="77" customFormat="1" ht="20.1" customHeight="1" spans="2:8">
      <c r="B237" s="121"/>
      <c r="D237" s="115"/>
      <c r="E237" s="122"/>
      <c r="F237" s="115"/>
      <c r="G237" s="115"/>
      <c r="H237" s="115"/>
    </row>
    <row r="238" s="77" customFormat="1" ht="20.1" customHeight="1" spans="2:8">
      <c r="B238" s="114"/>
      <c r="C238" s="123"/>
      <c r="D238" s="124"/>
      <c r="E238" s="125"/>
      <c r="F238" s="125"/>
      <c r="G238" s="125"/>
      <c r="H238" s="125"/>
    </row>
    <row r="239" s="77" customFormat="1" ht="20.1" customHeight="1" spans="2:8">
      <c r="B239" s="114"/>
      <c r="C239" s="123"/>
      <c r="D239" s="124"/>
      <c r="E239" s="125"/>
      <c r="F239" s="125"/>
      <c r="G239" s="125"/>
      <c r="H239" s="125"/>
    </row>
    <row r="240" s="77" customFormat="1" ht="20.1" customHeight="1" spans="2:8">
      <c r="B240" s="114"/>
      <c r="C240" s="123"/>
      <c r="D240" s="124"/>
      <c r="E240" s="125"/>
      <c r="F240" s="125"/>
      <c r="G240" s="125"/>
      <c r="H240" s="125"/>
    </row>
    <row r="241" s="77" customFormat="1" ht="20.1" customHeight="1" spans="2:8">
      <c r="B241" s="114"/>
      <c r="C241" s="123"/>
      <c r="D241" s="124"/>
      <c r="E241" s="125"/>
      <c r="F241" s="125"/>
      <c r="G241" s="125"/>
      <c r="H241" s="125"/>
    </row>
    <row r="242" s="77" customFormat="1" ht="20.1" customHeight="1" spans="2:8">
      <c r="B242" s="114"/>
      <c r="C242" s="123"/>
      <c r="D242" s="124"/>
      <c r="E242" s="125"/>
      <c r="F242" s="125"/>
      <c r="G242" s="125"/>
      <c r="H242" s="125"/>
    </row>
    <row r="243" s="77" customFormat="1" ht="20.1" customHeight="1" spans="2:8">
      <c r="B243" s="114"/>
      <c r="C243" s="123"/>
      <c r="D243" s="124"/>
      <c r="E243" s="125"/>
      <c r="F243" s="125"/>
      <c r="G243" s="125"/>
      <c r="H243" s="125"/>
    </row>
    <row r="244" s="77" customFormat="1" ht="20.1" customHeight="1" spans="2:8">
      <c r="B244" s="114"/>
      <c r="C244" s="123"/>
      <c r="D244" s="124"/>
      <c r="E244" s="125"/>
      <c r="F244" s="125"/>
      <c r="G244" s="125"/>
      <c r="H244" s="125"/>
    </row>
    <row r="245" s="77" customFormat="1" ht="20.1" customHeight="1" spans="2:8">
      <c r="B245" s="114"/>
      <c r="C245" s="78"/>
      <c r="D245" s="124"/>
      <c r="E245" s="116"/>
      <c r="F245" s="116"/>
      <c r="G245" s="116"/>
      <c r="H245" s="125"/>
    </row>
    <row r="246" s="77" customFormat="1" ht="20.1" customHeight="1" spans="2:8">
      <c r="B246" s="114"/>
      <c r="C246" s="78"/>
      <c r="D246" s="115"/>
      <c r="E246" s="116"/>
      <c r="F246" s="116"/>
      <c r="G246" s="116"/>
      <c r="H246" s="116"/>
    </row>
    <row r="247" s="77" customFormat="1" ht="20.1" customHeight="1" spans="2:8">
      <c r="B247" s="114"/>
      <c r="C247" s="123"/>
      <c r="D247" s="124"/>
      <c r="E247" s="125"/>
      <c r="F247" s="125"/>
      <c r="G247" s="125"/>
      <c r="H247" s="125"/>
    </row>
    <row r="248" s="77" customFormat="1" ht="20.1" customHeight="1" spans="2:8">
      <c r="B248" s="114"/>
      <c r="C248" s="123"/>
      <c r="D248" s="124"/>
      <c r="E248" s="125"/>
      <c r="F248" s="125"/>
      <c r="G248" s="125"/>
      <c r="H248" s="125"/>
    </row>
    <row r="249" s="77" customFormat="1" ht="20.1" customHeight="1" spans="2:8">
      <c r="B249" s="114"/>
      <c r="C249" s="123"/>
      <c r="D249" s="124"/>
      <c r="E249" s="125"/>
      <c r="F249" s="125"/>
      <c r="G249" s="125"/>
      <c r="H249" s="125"/>
    </row>
    <row r="250" s="77" customFormat="1" ht="20.1" customHeight="1" spans="2:8">
      <c r="B250" s="114"/>
      <c r="C250" s="123"/>
      <c r="D250" s="124"/>
      <c r="E250" s="125"/>
      <c r="F250" s="125"/>
      <c r="G250" s="125"/>
      <c r="H250" s="125"/>
    </row>
    <row r="251" s="77" customFormat="1" ht="20.1" customHeight="1" spans="2:8">
      <c r="B251" s="114"/>
      <c r="C251" s="123"/>
      <c r="D251" s="124"/>
      <c r="E251" s="125"/>
      <c r="F251" s="125"/>
      <c r="G251" s="125"/>
      <c r="H251" s="125"/>
    </row>
    <row r="252" s="77" customFormat="1" ht="20.1" customHeight="1" spans="2:8">
      <c r="B252" s="114"/>
      <c r="C252" s="123"/>
      <c r="D252" s="124"/>
      <c r="E252" s="125"/>
      <c r="F252" s="125"/>
      <c r="G252" s="125"/>
      <c r="H252" s="125"/>
    </row>
    <row r="253" s="77" customFormat="1" ht="20.1" customHeight="1" spans="2:8">
      <c r="B253" s="114"/>
      <c r="C253" s="123"/>
      <c r="D253" s="124"/>
      <c r="E253" s="125"/>
      <c r="F253" s="125"/>
      <c r="G253" s="125"/>
      <c r="H253" s="125"/>
    </row>
    <row r="254" s="77" customFormat="1" ht="20.1" customHeight="1" spans="2:8">
      <c r="B254" s="114"/>
      <c r="C254" s="78"/>
      <c r="D254" s="115"/>
      <c r="E254" s="116"/>
      <c r="F254" s="116"/>
      <c r="G254" s="116"/>
      <c r="H254" s="117"/>
    </row>
    <row r="255" s="77" customFormat="1" ht="20.1" customHeight="1" spans="2:8">
      <c r="B255" s="114"/>
      <c r="C255" s="78"/>
      <c r="D255" s="115"/>
      <c r="E255" s="116"/>
      <c r="F255" s="116"/>
      <c r="G255" s="116"/>
      <c r="H255" s="117"/>
    </row>
    <row r="256" s="77" customFormat="1" ht="20.1" customHeight="1" spans="2:8">
      <c r="B256" s="114"/>
      <c r="C256" s="78"/>
      <c r="D256" s="115"/>
      <c r="E256" s="116"/>
      <c r="F256" s="116"/>
      <c r="G256" s="116"/>
      <c r="H256" s="117"/>
    </row>
    <row r="257" s="77" customFormat="1" ht="20.1" customHeight="1" spans="2:8">
      <c r="B257" s="114"/>
      <c r="C257" s="123"/>
      <c r="D257" s="124"/>
      <c r="E257" s="125"/>
      <c r="F257" s="126"/>
      <c r="G257" s="126"/>
      <c r="H257" s="125"/>
    </row>
    <row r="258" s="77" customFormat="1" ht="20.1" customHeight="1" spans="2:8">
      <c r="B258" s="114"/>
      <c r="C258" s="123"/>
      <c r="D258" s="124"/>
      <c r="E258" s="125"/>
      <c r="F258" s="127"/>
      <c r="G258" s="127"/>
      <c r="H258" s="125"/>
    </row>
    <row r="259" s="77" customFormat="1" ht="20.1" customHeight="1" spans="2:8">
      <c r="B259" s="114"/>
      <c r="C259" s="123"/>
      <c r="D259" s="124"/>
      <c r="E259" s="125"/>
      <c r="F259" s="127"/>
      <c r="G259" s="127"/>
      <c r="H259" s="125"/>
    </row>
    <row r="260" s="77" customFormat="1" ht="20.1" customHeight="1" spans="2:8">
      <c r="B260" s="114"/>
      <c r="C260" s="123"/>
      <c r="D260" s="124"/>
      <c r="E260" s="125"/>
      <c r="F260" s="126"/>
      <c r="G260" s="126"/>
      <c r="H260" s="125"/>
    </row>
    <row r="261" s="77" customFormat="1" ht="20.1" customHeight="1" spans="2:8">
      <c r="B261" s="114"/>
      <c r="C261" s="78"/>
      <c r="D261" s="115"/>
      <c r="E261" s="116"/>
      <c r="F261" s="116"/>
      <c r="G261" s="116"/>
      <c r="H261" s="117"/>
    </row>
    <row r="262" s="77" customFormat="1" ht="20.1" customHeight="1" spans="2:8">
      <c r="B262" s="114"/>
      <c r="C262" s="78"/>
      <c r="D262" s="115"/>
      <c r="E262" s="116"/>
      <c r="F262" s="116"/>
      <c r="G262" s="116"/>
      <c r="H262" s="117"/>
    </row>
    <row r="263" s="77" customFormat="1" ht="20.1" customHeight="1" spans="2:8">
      <c r="B263" s="114"/>
      <c r="C263" s="78"/>
      <c r="D263" s="115"/>
      <c r="E263" s="116"/>
      <c r="F263" s="116"/>
      <c r="G263" s="116"/>
      <c r="H263" s="117"/>
    </row>
    <row r="264" s="77" customFormat="1" ht="20.1" customHeight="1" spans="2:8">
      <c r="B264" s="114"/>
      <c r="C264" s="78"/>
      <c r="D264" s="115"/>
      <c r="E264" s="116"/>
      <c r="F264" s="116"/>
      <c r="G264" s="116"/>
      <c r="H264" s="117"/>
    </row>
    <row r="265" s="77" customFormat="1" ht="20.1" customHeight="1" spans="2:8">
      <c r="B265" s="114"/>
      <c r="C265" s="78"/>
      <c r="D265" s="115"/>
      <c r="E265" s="116"/>
      <c r="F265" s="116"/>
      <c r="G265" s="116"/>
      <c r="H265" s="117"/>
    </row>
    <row r="266" s="77" customFormat="1" ht="20.1" customHeight="1" spans="2:8">
      <c r="B266" s="114"/>
      <c r="C266" s="78"/>
      <c r="D266" s="115"/>
      <c r="E266" s="116"/>
      <c r="F266" s="116"/>
      <c r="G266" s="116"/>
      <c r="H266" s="117"/>
    </row>
    <row r="267" s="78" customFormat="1" ht="20.1" customHeight="1" spans="2:8">
      <c r="B267" s="128"/>
      <c r="C267" s="129"/>
      <c r="D267" s="129"/>
      <c r="E267" s="129"/>
      <c r="F267" s="130"/>
      <c r="G267" s="130"/>
      <c r="H267" s="129"/>
    </row>
    <row r="268" s="77" customFormat="1" ht="20.1" customHeight="1" spans="2:8">
      <c r="B268" s="118"/>
      <c r="C268" s="118"/>
      <c r="D268" s="118"/>
      <c r="E268" s="119"/>
      <c r="F268" s="118"/>
      <c r="G268" s="118"/>
      <c r="H268" s="118"/>
    </row>
    <row r="269" s="77" customFormat="1" ht="20.1" customHeight="1" spans="2:8">
      <c r="B269" s="131"/>
      <c r="C269" s="118"/>
      <c r="D269" s="118"/>
      <c r="E269" s="119"/>
      <c r="F269" s="118"/>
      <c r="G269" s="118"/>
      <c r="H269" s="118"/>
    </row>
    <row r="270" s="77" customFormat="1" ht="20.1" customHeight="1" spans="2:8">
      <c r="B270" s="118"/>
      <c r="C270" s="118"/>
      <c r="D270" s="118"/>
      <c r="E270" s="119"/>
      <c r="F270" s="118"/>
      <c r="G270" s="118"/>
      <c r="H270" s="118"/>
    </row>
    <row r="271" s="77" customFormat="1" ht="20.1" customHeight="1" spans="2:8">
      <c r="B271" s="118"/>
      <c r="C271" s="118"/>
      <c r="D271" s="118"/>
      <c r="E271" s="119"/>
      <c r="F271" s="118"/>
      <c r="G271" s="118"/>
      <c r="H271" s="118"/>
    </row>
    <row r="272" s="77" customFormat="1" ht="20.1" customHeight="1" spans="2:8">
      <c r="B272" s="114"/>
      <c r="C272" s="115"/>
      <c r="D272" s="115"/>
      <c r="E272" s="120"/>
      <c r="F272" s="118"/>
      <c r="G272" s="118"/>
      <c r="H272" s="118"/>
    </row>
    <row r="273" s="77" customFormat="1" ht="20.1" customHeight="1" spans="2:8">
      <c r="B273" s="121"/>
      <c r="D273" s="115"/>
      <c r="E273" s="122"/>
      <c r="F273" s="115"/>
      <c r="G273" s="115"/>
      <c r="H273" s="115"/>
    </row>
    <row r="274" s="77" customFormat="1" ht="20.1" customHeight="1" spans="2:8">
      <c r="B274" s="114"/>
      <c r="C274" s="123"/>
      <c r="D274" s="124"/>
      <c r="E274" s="125"/>
      <c r="F274" s="125"/>
      <c r="G274" s="125"/>
      <c r="H274" s="125"/>
    </row>
    <row r="275" s="77" customFormat="1" ht="20.1" customHeight="1" spans="2:8">
      <c r="B275" s="114"/>
      <c r="C275" s="123"/>
      <c r="D275" s="124"/>
      <c r="E275" s="125"/>
      <c r="F275" s="125"/>
      <c r="G275" s="125"/>
      <c r="H275" s="125"/>
    </row>
    <row r="276" s="77" customFormat="1" ht="20.1" customHeight="1" spans="2:8">
      <c r="B276" s="114"/>
      <c r="C276" s="123"/>
      <c r="D276" s="124"/>
      <c r="E276" s="125"/>
      <c r="F276" s="125"/>
      <c r="G276" s="125"/>
      <c r="H276" s="125"/>
    </row>
    <row r="277" s="77" customFormat="1" ht="20.1" customHeight="1" spans="2:8">
      <c r="B277" s="114"/>
      <c r="C277" s="123"/>
      <c r="D277" s="124"/>
      <c r="E277" s="125"/>
      <c r="F277" s="125"/>
      <c r="G277" s="125"/>
      <c r="H277" s="125"/>
    </row>
    <row r="278" s="77" customFormat="1" ht="20.1" customHeight="1" spans="2:8">
      <c r="B278" s="114"/>
      <c r="C278" s="123"/>
      <c r="D278" s="124"/>
      <c r="E278" s="125"/>
      <c r="F278" s="125"/>
      <c r="G278" s="125"/>
      <c r="H278" s="125"/>
    </row>
    <row r="279" s="77" customFormat="1" ht="20.1" customHeight="1" spans="2:8">
      <c r="B279" s="114"/>
      <c r="C279" s="123"/>
      <c r="D279" s="124"/>
      <c r="E279" s="125"/>
      <c r="F279" s="125"/>
      <c r="G279" s="125"/>
      <c r="H279" s="125"/>
    </row>
    <row r="280" s="77" customFormat="1" ht="20.1" customHeight="1" spans="2:8">
      <c r="B280" s="114"/>
      <c r="C280" s="123"/>
      <c r="D280" s="124"/>
      <c r="E280" s="125"/>
      <c r="F280" s="125"/>
      <c r="G280" s="125"/>
      <c r="H280" s="125"/>
    </row>
    <row r="281" s="77" customFormat="1" ht="20.1" customHeight="1" spans="2:8">
      <c r="B281" s="114"/>
      <c r="C281" s="78"/>
      <c r="D281" s="124"/>
      <c r="E281" s="116"/>
      <c r="F281" s="116"/>
      <c r="G281" s="116"/>
      <c r="H281" s="125"/>
    </row>
    <row r="282" s="77" customFormat="1" ht="20.1" customHeight="1" spans="2:8">
      <c r="B282" s="114"/>
      <c r="C282" s="78"/>
      <c r="D282" s="115"/>
      <c r="E282" s="116"/>
      <c r="F282" s="116"/>
      <c r="G282" s="116"/>
      <c r="H282" s="116"/>
    </row>
    <row r="283" s="77" customFormat="1" ht="20.1" customHeight="1" spans="2:8">
      <c r="B283" s="114"/>
      <c r="C283" s="123"/>
      <c r="D283" s="124"/>
      <c r="E283" s="125"/>
      <c r="F283" s="125"/>
      <c r="G283" s="125"/>
      <c r="H283" s="125"/>
    </row>
    <row r="284" s="77" customFormat="1" ht="20.1" customHeight="1" spans="2:8">
      <c r="B284" s="114"/>
      <c r="C284" s="123"/>
      <c r="D284" s="124"/>
      <c r="E284" s="125"/>
      <c r="F284" s="125"/>
      <c r="G284" s="125"/>
      <c r="H284" s="125"/>
    </row>
    <row r="285" s="77" customFormat="1" ht="20.1" customHeight="1" spans="2:8">
      <c r="B285" s="114"/>
      <c r="C285" s="123"/>
      <c r="D285" s="124"/>
      <c r="E285" s="125"/>
      <c r="F285" s="125"/>
      <c r="G285" s="125"/>
      <c r="H285" s="125"/>
    </row>
    <row r="286" s="77" customFormat="1" ht="20.1" customHeight="1" spans="2:8">
      <c r="B286" s="114"/>
      <c r="C286" s="123"/>
      <c r="D286" s="124"/>
      <c r="E286" s="125"/>
      <c r="F286" s="125"/>
      <c r="G286" s="125"/>
      <c r="H286" s="125"/>
    </row>
    <row r="287" s="77" customFormat="1" ht="20.1" customHeight="1" spans="2:8">
      <c r="B287" s="114"/>
      <c r="C287" s="123"/>
      <c r="D287" s="124"/>
      <c r="E287" s="125"/>
      <c r="F287" s="125"/>
      <c r="G287" s="125"/>
      <c r="H287" s="125"/>
    </row>
    <row r="288" s="77" customFormat="1" ht="20.1" customHeight="1" spans="2:8">
      <c r="B288" s="114"/>
      <c r="C288" s="123"/>
      <c r="D288" s="124"/>
      <c r="E288" s="125"/>
      <c r="F288" s="125"/>
      <c r="G288" s="125"/>
      <c r="H288" s="125"/>
    </row>
    <row r="289" s="77" customFormat="1" ht="20.1" customHeight="1" spans="2:8">
      <c r="B289" s="114"/>
      <c r="C289" s="123"/>
      <c r="D289" s="124"/>
      <c r="E289" s="125"/>
      <c r="F289" s="125"/>
      <c r="G289" s="125"/>
      <c r="H289" s="125"/>
    </row>
    <row r="290" s="77" customFormat="1" ht="20.1" customHeight="1" spans="2:8">
      <c r="B290" s="114"/>
      <c r="C290" s="78"/>
      <c r="D290" s="115"/>
      <c r="E290" s="116"/>
      <c r="F290" s="116"/>
      <c r="G290" s="116"/>
      <c r="H290" s="117"/>
    </row>
    <row r="291" s="77" customFormat="1" ht="20.1" customHeight="1" spans="2:8">
      <c r="B291" s="114"/>
      <c r="C291" s="78"/>
      <c r="D291" s="115"/>
      <c r="E291" s="116"/>
      <c r="F291" s="116"/>
      <c r="G291" s="116"/>
      <c r="H291" s="117"/>
    </row>
    <row r="292" s="77" customFormat="1" ht="20.1" customHeight="1" spans="2:8">
      <c r="B292" s="114"/>
      <c r="C292" s="78"/>
      <c r="D292" s="115"/>
      <c r="E292" s="116"/>
      <c r="F292" s="116"/>
      <c r="G292" s="116"/>
      <c r="H292" s="117"/>
    </row>
    <row r="293" s="77" customFormat="1" ht="20.1" customHeight="1" spans="2:8">
      <c r="B293" s="114"/>
      <c r="C293" s="123"/>
      <c r="D293" s="124"/>
      <c r="E293" s="125"/>
      <c r="F293" s="126"/>
      <c r="G293" s="126"/>
      <c r="H293" s="125"/>
    </row>
    <row r="294" s="77" customFormat="1" ht="20.1" customHeight="1" spans="2:8">
      <c r="B294" s="114"/>
      <c r="C294" s="123"/>
      <c r="D294" s="124"/>
      <c r="E294" s="125"/>
      <c r="F294" s="127"/>
      <c r="G294" s="127"/>
      <c r="H294" s="125"/>
    </row>
    <row r="295" s="77" customFormat="1" ht="20.1" customHeight="1" spans="2:8">
      <c r="B295" s="114"/>
      <c r="C295" s="123"/>
      <c r="D295" s="124"/>
      <c r="E295" s="125"/>
      <c r="F295" s="127"/>
      <c r="G295" s="127"/>
      <c r="H295" s="125"/>
    </row>
    <row r="296" s="77" customFormat="1" ht="20.1" customHeight="1" spans="2:8">
      <c r="B296" s="114"/>
      <c r="C296" s="123"/>
      <c r="D296" s="124"/>
      <c r="E296" s="125"/>
      <c r="F296" s="126"/>
      <c r="G296" s="126"/>
      <c r="H296" s="125"/>
    </row>
    <row r="297" s="77" customFormat="1" ht="20.1" customHeight="1" spans="2:8">
      <c r="B297" s="114"/>
      <c r="C297" s="78"/>
      <c r="D297" s="115"/>
      <c r="E297" s="116"/>
      <c r="F297" s="116"/>
      <c r="G297" s="116"/>
      <c r="H297" s="117"/>
    </row>
    <row r="298" s="77" customFormat="1" ht="20.1" customHeight="1" spans="2:8">
      <c r="B298" s="114"/>
      <c r="C298" s="78"/>
      <c r="D298" s="115"/>
      <c r="E298" s="116"/>
      <c r="F298" s="116"/>
      <c r="G298" s="116"/>
      <c r="H298" s="117"/>
    </row>
    <row r="299" s="77" customFormat="1" ht="20.1" customHeight="1" spans="2:8">
      <c r="B299" s="114"/>
      <c r="C299" s="78"/>
      <c r="D299" s="115"/>
      <c r="E299" s="116"/>
      <c r="F299" s="116"/>
      <c r="G299" s="116"/>
      <c r="H299" s="117"/>
    </row>
    <row r="300" s="77" customFormat="1" ht="20.1" customHeight="1" spans="2:8">
      <c r="B300" s="114"/>
      <c r="C300" s="78"/>
      <c r="D300" s="115"/>
      <c r="E300" s="116"/>
      <c r="F300" s="116"/>
      <c r="G300" s="116"/>
      <c r="H300" s="117"/>
    </row>
    <row r="301" s="77" customFormat="1" ht="20.1" customHeight="1" spans="2:8">
      <c r="B301" s="114"/>
      <c r="C301" s="78"/>
      <c r="D301" s="115"/>
      <c r="E301" s="116"/>
      <c r="F301" s="116"/>
      <c r="G301" s="116"/>
      <c r="H301" s="117"/>
    </row>
    <row r="302" s="77" customFormat="1" ht="20.1" customHeight="1" spans="2:8">
      <c r="B302" s="114"/>
      <c r="C302" s="78"/>
      <c r="D302" s="115"/>
      <c r="E302" s="116"/>
      <c r="F302" s="116"/>
      <c r="G302" s="116"/>
      <c r="H302" s="117"/>
    </row>
    <row r="303" s="78" customFormat="1" ht="20.1" customHeight="1" spans="2:8">
      <c r="B303" s="128"/>
      <c r="C303" s="129"/>
      <c r="D303" s="129"/>
      <c r="E303" s="129"/>
      <c r="F303" s="130"/>
      <c r="G303" s="130"/>
      <c r="H303" s="129"/>
    </row>
    <row r="304" s="77" customFormat="1" ht="20.1" customHeight="1" spans="2:8">
      <c r="B304" s="118"/>
      <c r="C304" s="118"/>
      <c r="D304" s="118"/>
      <c r="E304" s="119"/>
      <c r="F304" s="118"/>
      <c r="G304" s="118"/>
      <c r="H304" s="118"/>
    </row>
    <row r="305" s="77" customFormat="1" ht="20.1" customHeight="1" spans="2:8">
      <c r="B305" s="131"/>
      <c r="C305" s="118"/>
      <c r="D305" s="118"/>
      <c r="E305" s="119"/>
      <c r="F305" s="118"/>
      <c r="G305" s="118"/>
      <c r="H305" s="118"/>
    </row>
    <row r="306" s="77" customFormat="1" ht="20.1" customHeight="1" spans="2:8">
      <c r="B306" s="118"/>
      <c r="C306" s="118"/>
      <c r="D306" s="118"/>
      <c r="E306" s="119"/>
      <c r="F306" s="118"/>
      <c r="G306" s="118"/>
      <c r="H306" s="118"/>
    </row>
    <row r="307" s="77" customFormat="1" ht="20.1" customHeight="1" spans="2:8">
      <c r="B307" s="118"/>
      <c r="C307" s="118"/>
      <c r="D307" s="118"/>
      <c r="E307" s="119"/>
      <c r="F307" s="118"/>
      <c r="G307" s="118"/>
      <c r="H307" s="118"/>
    </row>
    <row r="308" s="77" customFormat="1" ht="20.1" customHeight="1" spans="2:8">
      <c r="B308" s="114"/>
      <c r="C308" s="115"/>
      <c r="D308" s="115"/>
      <c r="E308" s="120"/>
      <c r="F308" s="118"/>
      <c r="G308" s="118"/>
      <c r="H308" s="118"/>
    </row>
    <row r="309" s="77" customFormat="1" ht="20.1" customHeight="1" spans="2:8">
      <c r="B309" s="121"/>
      <c r="D309" s="115"/>
      <c r="E309" s="122"/>
      <c r="F309" s="115"/>
      <c r="G309" s="115"/>
      <c r="H309" s="115"/>
    </row>
    <row r="310" s="77" customFormat="1" ht="20.1" customHeight="1" spans="2:8">
      <c r="B310" s="114"/>
      <c r="C310" s="123"/>
      <c r="D310" s="124"/>
      <c r="E310" s="125"/>
      <c r="F310" s="125"/>
      <c r="G310" s="125"/>
      <c r="H310" s="125"/>
    </row>
    <row r="311" s="77" customFormat="1" ht="20.1" customHeight="1" spans="2:8">
      <c r="B311" s="114"/>
      <c r="C311" s="123"/>
      <c r="D311" s="124"/>
      <c r="E311" s="125"/>
      <c r="F311" s="125"/>
      <c r="G311" s="125"/>
      <c r="H311" s="125"/>
    </row>
    <row r="312" s="77" customFormat="1" ht="20.1" customHeight="1" spans="2:8">
      <c r="B312" s="114"/>
      <c r="C312" s="123"/>
      <c r="D312" s="124"/>
      <c r="E312" s="125"/>
      <c r="F312" s="125"/>
      <c r="G312" s="125"/>
      <c r="H312" s="125"/>
    </row>
    <row r="313" s="77" customFormat="1" ht="20.1" customHeight="1" spans="2:8">
      <c r="B313" s="114"/>
      <c r="C313" s="123"/>
      <c r="D313" s="124"/>
      <c r="E313" s="125"/>
      <c r="F313" s="125"/>
      <c r="G313" s="125"/>
      <c r="H313" s="125"/>
    </row>
    <row r="314" s="77" customFormat="1" ht="20.1" customHeight="1" spans="2:8">
      <c r="B314" s="114"/>
      <c r="C314" s="123"/>
      <c r="D314" s="124"/>
      <c r="E314" s="125"/>
      <c r="F314" s="125"/>
      <c r="G314" s="125"/>
      <c r="H314" s="125"/>
    </row>
    <row r="315" s="77" customFormat="1" ht="20.1" customHeight="1" spans="2:8">
      <c r="B315" s="114"/>
      <c r="C315" s="123"/>
      <c r="D315" s="124"/>
      <c r="E315" s="125"/>
      <c r="F315" s="125"/>
      <c r="G315" s="125"/>
      <c r="H315" s="125"/>
    </row>
    <row r="316" s="77" customFormat="1" ht="20.1" customHeight="1" spans="2:8">
      <c r="B316" s="114"/>
      <c r="C316" s="123"/>
      <c r="D316" s="124"/>
      <c r="E316" s="125"/>
      <c r="F316" s="125"/>
      <c r="G316" s="125"/>
      <c r="H316" s="125"/>
    </row>
    <row r="317" s="77" customFormat="1" ht="20.1" customHeight="1" spans="2:8">
      <c r="B317" s="114"/>
      <c r="C317" s="123"/>
      <c r="D317" s="124"/>
      <c r="E317" s="125"/>
      <c r="F317" s="125"/>
      <c r="G317" s="125"/>
      <c r="H317" s="125"/>
    </row>
    <row r="318" s="77" customFormat="1" ht="20.1" customHeight="1" spans="2:8">
      <c r="B318" s="114"/>
      <c r="C318" s="123"/>
      <c r="D318" s="124"/>
      <c r="E318" s="125"/>
      <c r="F318" s="125"/>
      <c r="G318" s="125"/>
      <c r="H318" s="125"/>
    </row>
    <row r="319" s="77" customFormat="1" ht="20.1" customHeight="1" spans="2:8">
      <c r="B319" s="114"/>
      <c r="C319" s="123"/>
      <c r="D319" s="124"/>
      <c r="E319" s="125"/>
      <c r="F319" s="125"/>
      <c r="G319" s="125"/>
      <c r="H319" s="125"/>
    </row>
    <row r="320" s="77" customFormat="1" ht="20.1" customHeight="1" spans="2:8">
      <c r="B320" s="114"/>
      <c r="C320" s="123"/>
      <c r="D320" s="124"/>
      <c r="E320" s="125"/>
      <c r="F320" s="125"/>
      <c r="G320" s="125"/>
      <c r="H320" s="125"/>
    </row>
    <row r="321" s="77" customFormat="1" ht="20.1" customHeight="1" spans="2:8">
      <c r="B321" s="114"/>
      <c r="C321" s="123"/>
      <c r="D321" s="124"/>
      <c r="E321" s="125"/>
      <c r="F321" s="125"/>
      <c r="G321" s="125"/>
      <c r="H321" s="125"/>
    </row>
    <row r="322" s="77" customFormat="1" ht="20.1" customHeight="1" spans="2:8">
      <c r="B322" s="114"/>
      <c r="C322" s="123"/>
      <c r="D322" s="124"/>
      <c r="E322" s="125"/>
      <c r="F322" s="125"/>
      <c r="G322" s="125"/>
      <c r="H322" s="125"/>
    </row>
    <row r="323" s="77" customFormat="1" ht="20.1" customHeight="1" spans="2:8">
      <c r="B323" s="114"/>
      <c r="C323" s="123"/>
      <c r="D323" s="124"/>
      <c r="E323" s="125"/>
      <c r="F323" s="125"/>
      <c r="G323" s="125"/>
      <c r="H323" s="125"/>
    </row>
    <row r="324" s="77" customFormat="1" ht="20.1" customHeight="1" spans="2:8">
      <c r="B324" s="114"/>
      <c r="C324" s="123"/>
      <c r="D324" s="124"/>
      <c r="E324" s="125"/>
      <c r="F324" s="125"/>
      <c r="G324" s="125"/>
      <c r="H324" s="125"/>
    </row>
    <row r="325" s="77" customFormat="1" ht="20.1" customHeight="1" spans="2:8">
      <c r="B325" s="114"/>
      <c r="C325" s="123"/>
      <c r="D325" s="124"/>
      <c r="E325" s="125"/>
      <c r="F325" s="125"/>
      <c r="G325" s="125"/>
      <c r="H325" s="125"/>
    </row>
    <row r="326" s="77" customFormat="1" ht="20.1" customHeight="1" spans="2:8">
      <c r="B326" s="114"/>
      <c r="C326" s="78"/>
      <c r="D326" s="115"/>
      <c r="E326" s="116"/>
      <c r="F326" s="116"/>
      <c r="G326" s="116"/>
      <c r="H326" s="117"/>
    </row>
    <row r="327" s="77" customFormat="1" ht="20.1" customHeight="1" spans="2:8">
      <c r="B327" s="114"/>
      <c r="C327" s="78"/>
      <c r="D327" s="115"/>
      <c r="E327" s="116"/>
      <c r="F327" s="116"/>
      <c r="G327" s="116"/>
      <c r="H327" s="117"/>
    </row>
    <row r="328" s="77" customFormat="1" ht="20.1" customHeight="1" spans="2:8">
      <c r="B328" s="114"/>
      <c r="C328" s="78"/>
      <c r="D328" s="115"/>
      <c r="E328" s="116"/>
      <c r="F328" s="116"/>
      <c r="G328" s="116"/>
      <c r="H328" s="117"/>
    </row>
    <row r="329" s="77" customFormat="1" ht="20.1" customHeight="1" spans="2:8">
      <c r="B329" s="114"/>
      <c r="C329" s="123"/>
      <c r="D329" s="124"/>
      <c r="E329" s="125"/>
      <c r="F329" s="126"/>
      <c r="G329" s="126"/>
      <c r="H329" s="125"/>
    </row>
    <row r="330" s="77" customFormat="1" ht="20.1" customHeight="1" spans="2:8">
      <c r="B330" s="114"/>
      <c r="C330" s="123"/>
      <c r="D330" s="124"/>
      <c r="E330" s="125"/>
      <c r="F330" s="127"/>
      <c r="G330" s="127"/>
      <c r="H330" s="125"/>
    </row>
    <row r="331" s="77" customFormat="1" ht="20.1" customHeight="1" spans="2:8">
      <c r="B331" s="114"/>
      <c r="C331" s="123"/>
      <c r="D331" s="124"/>
      <c r="E331" s="125"/>
      <c r="F331" s="127"/>
      <c r="G331" s="127"/>
      <c r="H331" s="125"/>
    </row>
    <row r="332" s="77" customFormat="1" ht="20.1" customHeight="1" spans="2:8">
      <c r="B332" s="114"/>
      <c r="C332" s="123"/>
      <c r="D332" s="124"/>
      <c r="E332" s="125"/>
      <c r="F332" s="126"/>
      <c r="G332" s="126"/>
      <c r="H332" s="125"/>
    </row>
    <row r="333" s="77" customFormat="1" ht="20.1" customHeight="1" spans="2:8">
      <c r="B333" s="114"/>
      <c r="C333" s="78"/>
      <c r="D333" s="115"/>
      <c r="E333" s="116"/>
      <c r="F333" s="116"/>
      <c r="G333" s="116"/>
      <c r="H333" s="117"/>
    </row>
    <row r="334" s="77" customFormat="1" ht="20.1" customHeight="1" spans="2:8">
      <c r="B334" s="114"/>
      <c r="C334" s="78"/>
      <c r="D334" s="115"/>
      <c r="E334" s="116"/>
      <c r="F334" s="116"/>
      <c r="G334" s="116"/>
      <c r="H334" s="117"/>
    </row>
    <row r="335" s="77" customFormat="1" ht="20.1" customHeight="1" spans="2:8">
      <c r="B335" s="114"/>
      <c r="C335" s="78"/>
      <c r="D335" s="115"/>
      <c r="E335" s="116"/>
      <c r="F335" s="116"/>
      <c r="G335" s="116"/>
      <c r="H335" s="117"/>
    </row>
    <row r="336" s="77" customFormat="1" ht="20.1" customHeight="1" spans="2:8">
      <c r="B336" s="114"/>
      <c r="C336" s="78"/>
      <c r="D336" s="115"/>
      <c r="E336" s="116"/>
      <c r="F336" s="116"/>
      <c r="G336" s="116"/>
      <c r="H336" s="117"/>
    </row>
    <row r="337" s="77" customFormat="1" ht="20.1" customHeight="1" spans="2:8">
      <c r="B337" s="114"/>
      <c r="C337" s="78"/>
      <c r="D337" s="115"/>
      <c r="E337" s="116"/>
      <c r="F337" s="116"/>
      <c r="G337" s="116"/>
      <c r="H337" s="117"/>
    </row>
    <row r="338" s="77" customFormat="1" ht="20.1" customHeight="1" spans="2:8">
      <c r="B338" s="114"/>
      <c r="C338" s="78"/>
      <c r="D338" s="115"/>
      <c r="E338" s="116"/>
      <c r="F338" s="116"/>
      <c r="G338" s="116"/>
      <c r="H338" s="117"/>
    </row>
    <row r="339" s="78" customFormat="1" ht="20.1" customHeight="1" spans="2:8">
      <c r="B339" s="128"/>
      <c r="C339" s="129"/>
      <c r="D339" s="129"/>
      <c r="E339" s="129"/>
      <c r="F339" s="130"/>
      <c r="G339" s="130"/>
      <c r="H339" s="129"/>
    </row>
    <row r="340" s="77" customFormat="1" ht="20.1" customHeight="1" spans="2:8">
      <c r="B340" s="118"/>
      <c r="C340" s="118"/>
      <c r="D340" s="118"/>
      <c r="E340" s="119"/>
      <c r="F340" s="118"/>
      <c r="G340" s="118"/>
      <c r="H340" s="118"/>
    </row>
    <row r="341" s="77" customFormat="1" ht="20.1" customHeight="1" spans="2:8">
      <c r="B341" s="131"/>
      <c r="C341" s="118"/>
      <c r="D341" s="118"/>
      <c r="E341" s="119"/>
      <c r="F341" s="118"/>
      <c r="G341" s="118"/>
      <c r="H341" s="118"/>
    </row>
    <row r="342" s="77" customFormat="1" ht="20.1" customHeight="1" spans="2:8">
      <c r="B342" s="118"/>
      <c r="C342" s="118"/>
      <c r="D342" s="118"/>
      <c r="E342" s="119"/>
      <c r="F342" s="118"/>
      <c r="G342" s="118"/>
      <c r="H342" s="118"/>
    </row>
    <row r="343" s="77" customFormat="1" ht="20.1" customHeight="1" spans="2:8">
      <c r="B343" s="118"/>
      <c r="C343" s="118"/>
      <c r="D343" s="118"/>
      <c r="E343" s="119"/>
      <c r="F343" s="118"/>
      <c r="G343" s="118"/>
      <c r="H343" s="118"/>
    </row>
    <row r="344" s="77" customFormat="1" ht="20.1" customHeight="1" spans="2:8">
      <c r="B344" s="114"/>
      <c r="C344" s="115"/>
      <c r="D344" s="115"/>
      <c r="E344" s="120"/>
      <c r="F344" s="118"/>
      <c r="G344" s="118"/>
      <c r="H344" s="118"/>
    </row>
    <row r="345" s="77" customFormat="1" ht="20.1" customHeight="1" spans="2:8">
      <c r="B345" s="121"/>
      <c r="D345" s="115"/>
      <c r="E345" s="122"/>
      <c r="F345" s="115"/>
      <c r="G345" s="115"/>
      <c r="H345" s="115"/>
    </row>
    <row r="346" s="77" customFormat="1" ht="20.1" customHeight="1" spans="2:8">
      <c r="B346" s="114"/>
      <c r="C346" s="123"/>
      <c r="D346" s="124"/>
      <c r="E346" s="125"/>
      <c r="F346" s="125"/>
      <c r="G346" s="125"/>
      <c r="H346" s="125"/>
    </row>
    <row r="347" s="77" customFormat="1" ht="20.1" customHeight="1" spans="2:8">
      <c r="B347" s="114"/>
      <c r="C347" s="123"/>
      <c r="D347" s="124"/>
      <c r="E347" s="125"/>
      <c r="F347" s="125"/>
      <c r="G347" s="125"/>
      <c r="H347" s="125"/>
    </row>
    <row r="348" s="77" customFormat="1" ht="20.1" customHeight="1" spans="2:8">
      <c r="B348" s="114"/>
      <c r="C348" s="123"/>
      <c r="D348" s="124"/>
      <c r="E348" s="125"/>
      <c r="F348" s="125"/>
      <c r="G348" s="125"/>
      <c r="H348" s="125"/>
    </row>
    <row r="349" s="77" customFormat="1" ht="20.1" customHeight="1" spans="2:8">
      <c r="B349" s="114"/>
      <c r="C349" s="123"/>
      <c r="D349" s="124"/>
      <c r="E349" s="125"/>
      <c r="F349" s="125"/>
      <c r="G349" s="125"/>
      <c r="H349" s="125"/>
    </row>
    <row r="350" s="77" customFormat="1" ht="20.1" customHeight="1" spans="2:8">
      <c r="B350" s="114"/>
      <c r="C350" s="123"/>
      <c r="D350" s="124"/>
      <c r="E350" s="125"/>
      <c r="F350" s="125"/>
      <c r="G350" s="125"/>
      <c r="H350" s="125"/>
    </row>
    <row r="351" s="77" customFormat="1" ht="20.1" customHeight="1" spans="2:8">
      <c r="B351" s="114"/>
      <c r="C351" s="123"/>
      <c r="D351" s="124"/>
      <c r="E351" s="125"/>
      <c r="F351" s="125"/>
      <c r="G351" s="125"/>
      <c r="H351" s="125"/>
    </row>
    <row r="352" s="77" customFormat="1" ht="20.1" customHeight="1" spans="2:8">
      <c r="B352" s="114"/>
      <c r="C352" s="123"/>
      <c r="D352" s="124"/>
      <c r="E352" s="125"/>
      <c r="F352" s="125"/>
      <c r="G352" s="125"/>
      <c r="H352" s="125"/>
    </row>
    <row r="353" s="77" customFormat="1" ht="20.1" customHeight="1" spans="2:8">
      <c r="B353" s="114"/>
      <c r="C353" s="78"/>
      <c r="D353" s="124"/>
      <c r="E353" s="116"/>
      <c r="F353" s="116"/>
      <c r="G353" s="116"/>
      <c r="H353" s="125"/>
    </row>
    <row r="354" s="77" customFormat="1" ht="20.1" customHeight="1" spans="2:8">
      <c r="B354" s="114"/>
      <c r="C354" s="78"/>
      <c r="D354" s="115"/>
      <c r="E354" s="116"/>
      <c r="F354" s="116"/>
      <c r="G354" s="116"/>
      <c r="H354" s="116"/>
    </row>
    <row r="355" s="77" customFormat="1" ht="20.1" customHeight="1" spans="2:8">
      <c r="B355" s="114"/>
      <c r="C355" s="123"/>
      <c r="D355" s="124"/>
      <c r="E355" s="125"/>
      <c r="F355" s="125"/>
      <c r="G355" s="125"/>
      <c r="H355" s="125"/>
    </row>
    <row r="356" s="77" customFormat="1" ht="20.1" customHeight="1" spans="2:8">
      <c r="B356" s="114"/>
      <c r="C356" s="123"/>
      <c r="D356" s="124"/>
      <c r="E356" s="125"/>
      <c r="F356" s="125"/>
      <c r="G356" s="125"/>
      <c r="H356" s="125"/>
    </row>
    <row r="357" s="77" customFormat="1" ht="20.1" customHeight="1" spans="2:8">
      <c r="B357" s="114"/>
      <c r="C357" s="123"/>
      <c r="D357" s="124"/>
      <c r="E357" s="125"/>
      <c r="F357" s="125"/>
      <c r="G357" s="125"/>
      <c r="H357" s="125"/>
    </row>
    <row r="358" s="77" customFormat="1" ht="20.1" customHeight="1" spans="2:8">
      <c r="B358" s="114"/>
      <c r="C358" s="123"/>
      <c r="D358" s="124"/>
      <c r="E358" s="125"/>
      <c r="F358" s="125"/>
      <c r="G358" s="125"/>
      <c r="H358" s="125"/>
    </row>
    <row r="359" s="77" customFormat="1" ht="20.1" customHeight="1" spans="2:8">
      <c r="B359" s="114"/>
      <c r="C359" s="123"/>
      <c r="D359" s="124"/>
      <c r="E359" s="125"/>
      <c r="F359" s="125"/>
      <c r="G359" s="125"/>
      <c r="H359" s="125"/>
    </row>
    <row r="360" s="77" customFormat="1" ht="20.1" customHeight="1" spans="2:8">
      <c r="B360" s="114"/>
      <c r="C360" s="123"/>
      <c r="D360" s="124"/>
      <c r="E360" s="125"/>
      <c r="F360" s="125"/>
      <c r="G360" s="125"/>
      <c r="H360" s="125"/>
    </row>
    <row r="361" s="77" customFormat="1" ht="20.1" customHeight="1" spans="2:8">
      <c r="B361" s="114"/>
      <c r="C361" s="123"/>
      <c r="D361" s="124"/>
      <c r="E361" s="125"/>
      <c r="F361" s="125"/>
      <c r="G361" s="125"/>
      <c r="H361" s="125"/>
    </row>
    <row r="362" s="77" customFormat="1" ht="20.1" customHeight="1" spans="2:8">
      <c r="B362" s="114"/>
      <c r="C362" s="78"/>
      <c r="D362" s="115"/>
      <c r="E362" s="116"/>
      <c r="F362" s="116"/>
      <c r="G362" s="116"/>
      <c r="H362" s="117"/>
    </row>
    <row r="363" s="77" customFormat="1" ht="20.1" customHeight="1" spans="2:8">
      <c r="B363" s="114"/>
      <c r="C363" s="78"/>
      <c r="D363" s="115"/>
      <c r="E363" s="116"/>
      <c r="F363" s="116"/>
      <c r="G363" s="116"/>
      <c r="H363" s="117"/>
    </row>
    <row r="364" s="77" customFormat="1" ht="20.1" customHeight="1" spans="2:8">
      <c r="B364" s="114"/>
      <c r="C364" s="78"/>
      <c r="D364" s="115"/>
      <c r="E364" s="116"/>
      <c r="F364" s="116"/>
      <c r="G364" s="116"/>
      <c r="H364" s="117"/>
    </row>
    <row r="365" s="77" customFormat="1" ht="20.1" customHeight="1" spans="2:8">
      <c r="B365" s="114"/>
      <c r="C365" s="123"/>
      <c r="D365" s="124"/>
      <c r="E365" s="125"/>
      <c r="F365" s="126"/>
      <c r="G365" s="126"/>
      <c r="H365" s="125"/>
    </row>
    <row r="366" s="77" customFormat="1" ht="20.1" customHeight="1" spans="2:8">
      <c r="B366" s="114"/>
      <c r="C366" s="123"/>
      <c r="D366" s="124"/>
      <c r="E366" s="125"/>
      <c r="F366" s="127"/>
      <c r="G366" s="127"/>
      <c r="H366" s="125"/>
    </row>
    <row r="367" s="77" customFormat="1" ht="20.1" customHeight="1" spans="2:8">
      <c r="B367" s="114"/>
      <c r="C367" s="123"/>
      <c r="D367" s="124"/>
      <c r="E367" s="125"/>
      <c r="F367" s="127"/>
      <c r="G367" s="127"/>
      <c r="H367" s="125"/>
    </row>
    <row r="368" s="77" customFormat="1" ht="20.1" customHeight="1" spans="2:8">
      <c r="B368" s="114"/>
      <c r="C368" s="123"/>
      <c r="D368" s="124"/>
      <c r="E368" s="125"/>
      <c r="F368" s="126"/>
      <c r="G368" s="126"/>
      <c r="H368" s="125"/>
    </row>
    <row r="369" s="77" customFormat="1" ht="20.1" customHeight="1" spans="2:8">
      <c r="B369" s="114"/>
      <c r="C369" s="78"/>
      <c r="D369" s="115"/>
      <c r="E369" s="116"/>
      <c r="F369" s="116"/>
      <c r="G369" s="116"/>
      <c r="H369" s="117"/>
    </row>
    <row r="370" s="77" customFormat="1" ht="20.1" customHeight="1" spans="2:8">
      <c r="B370" s="114"/>
      <c r="C370" s="78"/>
      <c r="D370" s="115"/>
      <c r="E370" s="116"/>
      <c r="F370" s="116"/>
      <c r="G370" s="116"/>
      <c r="H370" s="117"/>
    </row>
    <row r="371" s="77" customFormat="1" ht="20.1" customHeight="1" spans="2:8">
      <c r="B371" s="114"/>
      <c r="C371" s="78"/>
      <c r="D371" s="115"/>
      <c r="E371" s="116"/>
      <c r="F371" s="116"/>
      <c r="G371" s="116"/>
      <c r="H371" s="117"/>
    </row>
    <row r="372" s="77" customFormat="1" ht="20.1" customHeight="1" spans="2:8">
      <c r="B372" s="114"/>
      <c r="C372" s="78"/>
      <c r="D372" s="115"/>
      <c r="E372" s="116"/>
      <c r="F372" s="116"/>
      <c r="G372" s="116"/>
      <c r="H372" s="117"/>
    </row>
    <row r="373" s="77" customFormat="1" ht="20.1" customHeight="1" spans="2:8">
      <c r="B373" s="114"/>
      <c r="C373" s="78"/>
      <c r="D373" s="115"/>
      <c r="E373" s="116"/>
      <c r="F373" s="116"/>
      <c r="G373" s="116"/>
      <c r="H373" s="117"/>
    </row>
    <row r="374" s="77" customFormat="1" ht="20.1" customHeight="1" spans="2:8">
      <c r="B374" s="114"/>
      <c r="C374" s="78"/>
      <c r="D374" s="115"/>
      <c r="E374" s="116"/>
      <c r="F374" s="116"/>
      <c r="G374" s="116"/>
      <c r="H374" s="117"/>
    </row>
    <row r="375" s="78" customFormat="1" ht="20.1" customHeight="1" spans="2:8">
      <c r="B375" s="128"/>
      <c r="C375" s="129"/>
      <c r="D375" s="129"/>
      <c r="E375" s="129"/>
      <c r="F375" s="130"/>
      <c r="G375" s="130"/>
      <c r="H375" s="129"/>
    </row>
    <row r="376" s="77" customFormat="1" ht="20.1" customHeight="1" spans="2:8">
      <c r="B376" s="118"/>
      <c r="C376" s="118"/>
      <c r="D376" s="118"/>
      <c r="E376" s="119"/>
      <c r="F376" s="118"/>
      <c r="G376" s="118"/>
      <c r="H376" s="118"/>
    </row>
    <row r="377" s="77" customFormat="1" ht="20.1" customHeight="1" spans="2:8">
      <c r="B377" s="131"/>
      <c r="C377" s="118"/>
      <c r="D377" s="118"/>
      <c r="E377" s="119"/>
      <c r="F377" s="118"/>
      <c r="G377" s="118"/>
      <c r="H377" s="118"/>
    </row>
    <row r="378" s="77" customFormat="1" ht="20.1" customHeight="1" spans="2:8">
      <c r="B378" s="118"/>
      <c r="C378" s="118"/>
      <c r="D378" s="118"/>
      <c r="E378" s="119"/>
      <c r="F378" s="118"/>
      <c r="G378" s="118"/>
      <c r="H378" s="118"/>
    </row>
    <row r="379" s="77" customFormat="1" ht="20.1" customHeight="1" spans="2:8">
      <c r="B379" s="118"/>
      <c r="C379" s="118"/>
      <c r="D379" s="118"/>
      <c r="E379" s="119"/>
      <c r="F379" s="118"/>
      <c r="G379" s="118"/>
      <c r="H379" s="118"/>
    </row>
    <row r="380" s="77" customFormat="1" ht="20.1" customHeight="1" spans="2:8">
      <c r="B380" s="114"/>
      <c r="C380" s="115"/>
      <c r="D380" s="115"/>
      <c r="E380" s="120"/>
      <c r="F380" s="118"/>
      <c r="G380" s="118"/>
      <c r="H380" s="118"/>
    </row>
    <row r="381" s="77" customFormat="1" ht="20.1" customHeight="1" spans="2:8">
      <c r="B381" s="121"/>
      <c r="D381" s="115"/>
      <c r="E381" s="122"/>
      <c r="F381" s="115"/>
      <c r="G381" s="115"/>
      <c r="H381" s="115"/>
    </row>
    <row r="382" s="77" customFormat="1" ht="20.1" customHeight="1" spans="2:8">
      <c r="B382" s="114"/>
      <c r="C382" s="123"/>
      <c r="D382" s="124"/>
      <c r="E382" s="125"/>
      <c r="F382" s="125"/>
      <c r="G382" s="125"/>
      <c r="H382" s="125"/>
    </row>
    <row r="383" s="77" customFormat="1" ht="20.1" customHeight="1" spans="2:8">
      <c r="B383" s="114"/>
      <c r="C383" s="123"/>
      <c r="D383" s="124"/>
      <c r="E383" s="125"/>
      <c r="F383" s="125"/>
      <c r="G383" s="125"/>
      <c r="H383" s="125"/>
    </row>
    <row r="384" s="77" customFormat="1" ht="20.1" customHeight="1" spans="2:8">
      <c r="B384" s="114"/>
      <c r="C384" s="123"/>
      <c r="D384" s="124"/>
      <c r="E384" s="125"/>
      <c r="F384" s="125"/>
      <c r="G384" s="125"/>
      <c r="H384" s="125"/>
    </row>
    <row r="385" s="77" customFormat="1" ht="20.1" customHeight="1" spans="2:8">
      <c r="B385" s="114"/>
      <c r="C385" s="123"/>
      <c r="D385" s="124"/>
      <c r="E385" s="125"/>
      <c r="F385" s="125"/>
      <c r="G385" s="125"/>
      <c r="H385" s="125"/>
    </row>
    <row r="386" s="77" customFormat="1" ht="20.1" customHeight="1" spans="2:8">
      <c r="B386" s="114"/>
      <c r="C386" s="123"/>
      <c r="D386" s="124"/>
      <c r="E386" s="125"/>
      <c r="F386" s="125"/>
      <c r="G386" s="125"/>
      <c r="H386" s="125"/>
    </row>
    <row r="387" s="77" customFormat="1" ht="20.1" customHeight="1" spans="2:8">
      <c r="B387" s="114"/>
      <c r="C387" s="123"/>
      <c r="D387" s="124"/>
      <c r="E387" s="125"/>
      <c r="F387" s="125"/>
      <c r="G387" s="125"/>
      <c r="H387" s="125"/>
    </row>
    <row r="388" s="77" customFormat="1" ht="20.1" customHeight="1" spans="2:8">
      <c r="B388" s="114"/>
      <c r="C388" s="123"/>
      <c r="D388" s="124"/>
      <c r="E388" s="125"/>
      <c r="F388" s="125"/>
      <c r="G388" s="125"/>
      <c r="H388" s="125"/>
    </row>
    <row r="389" s="77" customFormat="1" ht="20.1" customHeight="1" spans="2:8">
      <c r="B389" s="114"/>
      <c r="C389" s="78"/>
      <c r="D389" s="124"/>
      <c r="E389" s="116"/>
      <c r="F389" s="116"/>
      <c r="G389" s="116"/>
      <c r="H389" s="125"/>
    </row>
    <row r="390" s="77" customFormat="1" ht="20.1" customHeight="1" spans="2:8">
      <c r="B390" s="114"/>
      <c r="C390" s="78"/>
      <c r="D390" s="115"/>
      <c r="E390" s="116"/>
      <c r="F390" s="116"/>
      <c r="G390" s="116"/>
      <c r="H390" s="116"/>
    </row>
    <row r="391" s="77" customFormat="1" ht="20.1" customHeight="1" spans="2:8">
      <c r="B391" s="114"/>
      <c r="C391" s="123"/>
      <c r="D391" s="124"/>
      <c r="E391" s="125"/>
      <c r="F391" s="125"/>
      <c r="G391" s="125"/>
      <c r="H391" s="125"/>
    </row>
    <row r="392" s="77" customFormat="1" ht="20.1" customHeight="1" spans="2:8">
      <c r="B392" s="114"/>
      <c r="C392" s="123"/>
      <c r="D392" s="124"/>
      <c r="E392" s="125"/>
      <c r="F392" s="125"/>
      <c r="G392" s="125"/>
      <c r="H392" s="125"/>
    </row>
    <row r="393" s="77" customFormat="1" ht="20.1" customHeight="1" spans="2:8">
      <c r="B393" s="114"/>
      <c r="C393" s="123"/>
      <c r="D393" s="124"/>
      <c r="E393" s="125"/>
      <c r="F393" s="125"/>
      <c r="G393" s="125"/>
      <c r="H393" s="125"/>
    </row>
    <row r="394" s="77" customFormat="1" ht="20.1" customHeight="1" spans="2:8">
      <c r="B394" s="114"/>
      <c r="C394" s="123"/>
      <c r="D394" s="124"/>
      <c r="E394" s="125"/>
      <c r="F394" s="125"/>
      <c r="G394" s="125"/>
      <c r="H394" s="125"/>
    </row>
    <row r="395" s="77" customFormat="1" ht="20.1" customHeight="1" spans="2:8">
      <c r="B395" s="114"/>
      <c r="C395" s="123"/>
      <c r="D395" s="124"/>
      <c r="E395" s="125"/>
      <c r="F395" s="125"/>
      <c r="G395" s="125"/>
      <c r="H395" s="125"/>
    </row>
    <row r="396" s="77" customFormat="1" ht="20.1" customHeight="1" spans="2:8">
      <c r="B396" s="114"/>
      <c r="C396" s="123"/>
      <c r="D396" s="124"/>
      <c r="E396" s="125"/>
      <c r="F396" s="125"/>
      <c r="G396" s="125"/>
      <c r="H396" s="125"/>
    </row>
    <row r="397" s="77" customFormat="1" ht="20.1" customHeight="1" spans="2:8">
      <c r="B397" s="114"/>
      <c r="C397" s="123"/>
      <c r="D397" s="124"/>
      <c r="E397" s="125"/>
      <c r="F397" s="125"/>
      <c r="G397" s="125"/>
      <c r="H397" s="125"/>
    </row>
    <row r="398" s="77" customFormat="1" ht="20.1" customHeight="1" spans="2:8">
      <c r="B398" s="114"/>
      <c r="C398" s="78"/>
      <c r="D398" s="115"/>
      <c r="E398" s="116"/>
      <c r="F398" s="116"/>
      <c r="G398" s="116"/>
      <c r="H398" s="117"/>
    </row>
    <row r="399" s="77" customFormat="1" ht="20.1" customHeight="1" spans="2:8">
      <c r="B399" s="114"/>
      <c r="C399" s="78"/>
      <c r="D399" s="115"/>
      <c r="E399" s="116"/>
      <c r="F399" s="116"/>
      <c r="G399" s="116"/>
      <c r="H399" s="117"/>
    </row>
    <row r="400" s="77" customFormat="1" ht="20.1" customHeight="1" spans="2:8">
      <c r="B400" s="114"/>
      <c r="C400" s="78"/>
      <c r="D400" s="115"/>
      <c r="E400" s="116"/>
      <c r="F400" s="116"/>
      <c r="G400" s="116"/>
      <c r="H400" s="117"/>
    </row>
    <row r="401" s="77" customFormat="1" ht="20.1" customHeight="1" spans="2:8">
      <c r="B401" s="114"/>
      <c r="C401" s="123"/>
      <c r="D401" s="124"/>
      <c r="E401" s="125"/>
      <c r="F401" s="126"/>
      <c r="G401" s="126"/>
      <c r="H401" s="125"/>
    </row>
    <row r="402" s="77" customFormat="1" ht="20.1" customHeight="1" spans="2:8">
      <c r="B402" s="114"/>
      <c r="C402" s="123"/>
      <c r="D402" s="124"/>
      <c r="E402" s="125"/>
      <c r="F402" s="127"/>
      <c r="G402" s="127"/>
      <c r="H402" s="125"/>
    </row>
    <row r="403" s="77" customFormat="1" ht="20.1" customHeight="1" spans="2:8">
      <c r="B403" s="114"/>
      <c r="C403" s="123"/>
      <c r="D403" s="124"/>
      <c r="E403" s="125"/>
      <c r="F403" s="127"/>
      <c r="G403" s="127"/>
      <c r="H403" s="125"/>
    </row>
    <row r="404" s="77" customFormat="1" ht="20.1" customHeight="1" spans="2:8">
      <c r="B404" s="114"/>
      <c r="C404" s="123"/>
      <c r="D404" s="124"/>
      <c r="E404" s="125"/>
      <c r="F404" s="126"/>
      <c r="G404" s="126"/>
      <c r="H404" s="125"/>
    </row>
    <row r="405" s="77" customFormat="1" ht="20.1" customHeight="1" spans="2:8">
      <c r="B405" s="114"/>
      <c r="C405" s="78"/>
      <c r="D405" s="115"/>
      <c r="E405" s="116"/>
      <c r="F405" s="116"/>
      <c r="G405" s="116"/>
      <c r="H405" s="117"/>
    </row>
    <row r="406" s="77" customFormat="1" ht="20.1" customHeight="1" spans="2:8">
      <c r="B406" s="114"/>
      <c r="C406" s="78"/>
      <c r="D406" s="115"/>
      <c r="E406" s="116"/>
      <c r="F406" s="116"/>
      <c r="G406" s="116"/>
      <c r="H406" s="117"/>
    </row>
    <row r="407" s="77" customFormat="1" ht="20.1" customHeight="1" spans="2:8">
      <c r="B407" s="114"/>
      <c r="C407" s="78"/>
      <c r="D407" s="115"/>
      <c r="E407" s="116"/>
      <c r="F407" s="116"/>
      <c r="G407" s="116"/>
      <c r="H407" s="117"/>
    </row>
    <row r="408" s="77" customFormat="1" ht="20.1" customHeight="1" spans="2:8">
      <c r="B408" s="114"/>
      <c r="C408" s="78"/>
      <c r="D408" s="115"/>
      <c r="E408" s="116"/>
      <c r="F408" s="116"/>
      <c r="G408" s="116"/>
      <c r="H408" s="117"/>
    </row>
    <row r="409" s="77" customFormat="1" ht="20.1" customHeight="1" spans="2:8">
      <c r="B409" s="114"/>
      <c r="C409" s="78"/>
      <c r="D409" s="115"/>
      <c r="E409" s="116"/>
      <c r="F409" s="116"/>
      <c r="G409" s="116"/>
      <c r="H409" s="117"/>
    </row>
    <row r="410" s="77" customFormat="1" ht="20.1" customHeight="1" spans="2:8">
      <c r="B410" s="114"/>
      <c r="C410" s="78"/>
      <c r="D410" s="115"/>
      <c r="E410" s="116"/>
      <c r="F410" s="116"/>
      <c r="G410" s="116"/>
      <c r="H410" s="117"/>
    </row>
    <row r="411" s="78" customFormat="1" ht="20.1" customHeight="1" spans="2:8">
      <c r="B411" s="128"/>
      <c r="C411" s="129"/>
      <c r="D411" s="129"/>
      <c r="E411" s="129"/>
      <c r="F411" s="130"/>
      <c r="G411" s="130"/>
      <c r="H411" s="129"/>
    </row>
    <row r="412" s="77" customFormat="1" ht="20.1" customHeight="1" spans="2:8">
      <c r="B412" s="118"/>
      <c r="C412" s="118"/>
      <c r="D412" s="118"/>
      <c r="E412" s="119"/>
      <c r="F412" s="118"/>
      <c r="G412" s="118"/>
      <c r="H412" s="118"/>
    </row>
    <row r="413" s="77" customFormat="1" ht="20.1" customHeight="1" spans="2:8">
      <c r="B413" s="131"/>
      <c r="C413" s="118"/>
      <c r="D413" s="118"/>
      <c r="E413" s="119"/>
      <c r="F413" s="118"/>
      <c r="G413" s="118"/>
      <c r="H413" s="118"/>
    </row>
    <row r="414" s="77" customFormat="1" ht="20.1" customHeight="1" spans="2:8">
      <c r="B414" s="118"/>
      <c r="C414" s="118"/>
      <c r="D414" s="118"/>
      <c r="E414" s="119"/>
      <c r="F414" s="118"/>
      <c r="G414" s="118"/>
      <c r="H414" s="118"/>
    </row>
    <row r="415" s="77" customFormat="1" ht="20.1" customHeight="1" spans="2:8">
      <c r="B415" s="118"/>
      <c r="C415" s="118"/>
      <c r="D415" s="118"/>
      <c r="E415" s="119"/>
      <c r="F415" s="118"/>
      <c r="G415" s="118"/>
      <c r="H415" s="118"/>
    </row>
    <row r="416" s="77" customFormat="1" ht="20.1" customHeight="1" spans="2:8">
      <c r="B416" s="114"/>
      <c r="C416" s="115"/>
      <c r="D416" s="115"/>
      <c r="E416" s="120"/>
      <c r="F416" s="118"/>
      <c r="G416" s="118"/>
      <c r="H416" s="118"/>
    </row>
    <row r="417" s="77" customFormat="1" ht="20.1" customHeight="1" spans="2:8">
      <c r="B417" s="121"/>
      <c r="D417" s="115"/>
      <c r="E417" s="122"/>
      <c r="F417" s="115"/>
      <c r="G417" s="115"/>
      <c r="H417" s="115"/>
    </row>
    <row r="418" s="77" customFormat="1" ht="20.1" customHeight="1" spans="2:8">
      <c r="B418" s="114"/>
      <c r="C418" s="123"/>
      <c r="D418" s="124"/>
      <c r="E418" s="125"/>
      <c r="F418" s="125"/>
      <c r="G418" s="125"/>
      <c r="H418" s="125"/>
    </row>
    <row r="419" s="77" customFormat="1" ht="20.1" customHeight="1" spans="2:8">
      <c r="B419" s="114"/>
      <c r="C419" s="123"/>
      <c r="D419" s="124"/>
      <c r="E419" s="125"/>
      <c r="F419" s="125"/>
      <c r="G419" s="125"/>
      <c r="H419" s="125"/>
    </row>
    <row r="420" s="77" customFormat="1" ht="20.1" customHeight="1" spans="2:8">
      <c r="B420" s="114"/>
      <c r="C420" s="123"/>
      <c r="D420" s="124"/>
      <c r="E420" s="125"/>
      <c r="F420" s="125"/>
      <c r="G420" s="125"/>
      <c r="H420" s="125"/>
    </row>
    <row r="421" s="77" customFormat="1" ht="20.1" customHeight="1" spans="2:8">
      <c r="B421" s="114"/>
      <c r="C421" s="123"/>
      <c r="D421" s="124"/>
      <c r="E421" s="125"/>
      <c r="F421" s="125"/>
      <c r="G421" s="125"/>
      <c r="H421" s="125"/>
    </row>
    <row r="422" s="77" customFormat="1" ht="20.1" customHeight="1" spans="2:8">
      <c r="B422" s="114"/>
      <c r="C422" s="123"/>
      <c r="D422" s="124"/>
      <c r="E422" s="125"/>
      <c r="F422" s="125"/>
      <c r="G422" s="125"/>
      <c r="H422" s="125"/>
    </row>
    <row r="423" s="77" customFormat="1" ht="20.1" customHeight="1" spans="2:8">
      <c r="B423" s="114"/>
      <c r="C423" s="123"/>
      <c r="D423" s="124"/>
      <c r="E423" s="125"/>
      <c r="F423" s="125"/>
      <c r="G423" s="125"/>
      <c r="H423" s="125"/>
    </row>
    <row r="424" s="77" customFormat="1" ht="20.1" customHeight="1" spans="2:8">
      <c r="B424" s="114"/>
      <c r="C424" s="123"/>
      <c r="D424" s="124"/>
      <c r="E424" s="125"/>
      <c r="F424" s="125"/>
      <c r="G424" s="125"/>
      <c r="H424" s="125"/>
    </row>
    <row r="425" s="77" customFormat="1" ht="20.1" customHeight="1" spans="2:8">
      <c r="B425" s="114"/>
      <c r="C425" s="132"/>
      <c r="D425" s="124"/>
      <c r="E425" s="117"/>
      <c r="F425" s="117"/>
      <c r="G425" s="117"/>
      <c r="H425" s="125"/>
    </row>
    <row r="426" s="77" customFormat="1" ht="20.1" customHeight="1" spans="2:8">
      <c r="B426" s="114"/>
      <c r="C426" s="133"/>
      <c r="D426" s="124"/>
      <c r="E426" s="117"/>
      <c r="F426" s="117"/>
      <c r="G426" s="117"/>
      <c r="H426" s="125"/>
    </row>
    <row r="427" s="77" customFormat="1" ht="20.1" customHeight="1" spans="2:8">
      <c r="B427" s="114"/>
      <c r="C427" s="123"/>
      <c r="D427" s="124"/>
      <c r="E427" s="125"/>
      <c r="F427" s="125"/>
      <c r="G427" s="125"/>
      <c r="H427" s="125"/>
    </row>
    <row r="428" s="77" customFormat="1" ht="20.1" customHeight="1" spans="2:8">
      <c r="B428" s="114"/>
      <c r="C428" s="123"/>
      <c r="D428" s="124"/>
      <c r="E428" s="125"/>
      <c r="F428" s="125"/>
      <c r="G428" s="125"/>
      <c r="H428" s="125"/>
    </row>
    <row r="429" s="77" customFormat="1" ht="20.1" customHeight="1" spans="2:8">
      <c r="B429" s="114"/>
      <c r="C429" s="123"/>
      <c r="D429" s="124"/>
      <c r="E429" s="125"/>
      <c r="F429" s="125"/>
      <c r="G429" s="125"/>
      <c r="H429" s="125"/>
    </row>
    <row r="430" s="77" customFormat="1" ht="20.1" customHeight="1" spans="2:8">
      <c r="B430" s="114"/>
      <c r="C430" s="123"/>
      <c r="D430" s="124"/>
      <c r="E430" s="125"/>
      <c r="F430" s="125"/>
      <c r="G430" s="125"/>
      <c r="H430" s="125"/>
    </row>
    <row r="431" s="77" customFormat="1" ht="20.1" customHeight="1" spans="2:8">
      <c r="B431" s="114"/>
      <c r="C431" s="123"/>
      <c r="D431" s="124"/>
      <c r="E431" s="125"/>
      <c r="F431" s="125"/>
      <c r="G431" s="125"/>
      <c r="H431" s="125"/>
    </row>
    <row r="432" s="77" customFormat="1" ht="20.1" customHeight="1" spans="2:8">
      <c r="B432" s="114"/>
      <c r="C432" s="123"/>
      <c r="D432" s="124"/>
      <c r="E432" s="125"/>
      <c r="F432" s="125"/>
      <c r="G432" s="125"/>
      <c r="H432" s="125"/>
    </row>
    <row r="433" s="77" customFormat="1" ht="20.1" customHeight="1" spans="2:8">
      <c r="B433" s="114"/>
      <c r="C433" s="123"/>
      <c r="D433" s="124"/>
      <c r="E433" s="125"/>
      <c r="F433" s="125"/>
      <c r="G433" s="125"/>
      <c r="H433" s="125"/>
    </row>
    <row r="434" s="77" customFormat="1" ht="20.1" customHeight="1" spans="2:8">
      <c r="B434" s="114"/>
      <c r="C434" s="78"/>
      <c r="D434" s="115"/>
      <c r="E434" s="116"/>
      <c r="F434" s="116"/>
      <c r="G434" s="116"/>
      <c r="H434" s="117"/>
    </row>
    <row r="435" s="77" customFormat="1" ht="20.1" customHeight="1" spans="2:8">
      <c r="B435" s="114"/>
      <c r="C435" s="78"/>
      <c r="D435" s="115"/>
      <c r="E435" s="116"/>
      <c r="F435" s="116"/>
      <c r="G435" s="116"/>
      <c r="H435" s="117"/>
    </row>
    <row r="436" s="77" customFormat="1" ht="20.1" customHeight="1" spans="2:8">
      <c r="B436" s="114"/>
      <c r="C436" s="78"/>
      <c r="D436" s="115"/>
      <c r="E436" s="116"/>
      <c r="F436" s="116"/>
      <c r="G436" s="116"/>
      <c r="H436" s="117"/>
    </row>
    <row r="437" s="77" customFormat="1" ht="20.1" customHeight="1" spans="2:8">
      <c r="B437" s="114"/>
      <c r="C437" s="123"/>
      <c r="D437" s="124"/>
      <c r="E437" s="125"/>
      <c r="F437" s="126"/>
      <c r="G437" s="126"/>
      <c r="H437" s="125"/>
    </row>
    <row r="438" s="77" customFormat="1" ht="20.1" customHeight="1" spans="2:8">
      <c r="B438" s="114"/>
      <c r="C438" s="123"/>
      <c r="D438" s="124"/>
      <c r="E438" s="125"/>
      <c r="F438" s="127"/>
      <c r="G438" s="127"/>
      <c r="H438" s="125"/>
    </row>
    <row r="439" s="77" customFormat="1" ht="20.1" customHeight="1" spans="2:8">
      <c r="B439" s="114"/>
      <c r="C439" s="123"/>
      <c r="D439" s="124"/>
      <c r="E439" s="125"/>
      <c r="F439" s="127"/>
      <c r="G439" s="127"/>
      <c r="H439" s="125"/>
    </row>
    <row r="440" s="77" customFormat="1" ht="20.1" customHeight="1" spans="2:8">
      <c r="B440" s="114"/>
      <c r="C440" s="123"/>
      <c r="D440" s="124"/>
      <c r="E440" s="125"/>
      <c r="F440" s="126"/>
      <c r="G440" s="126"/>
      <c r="H440" s="125"/>
    </row>
    <row r="441" s="77" customFormat="1" ht="20.1" customHeight="1" spans="2:8">
      <c r="B441" s="114"/>
      <c r="C441" s="78"/>
      <c r="D441" s="115"/>
      <c r="E441" s="116"/>
      <c r="F441" s="116"/>
      <c r="G441" s="116"/>
      <c r="H441" s="117"/>
    </row>
    <row r="442" s="77" customFormat="1" ht="20.1" customHeight="1" spans="2:8">
      <c r="B442" s="114"/>
      <c r="C442" s="78"/>
      <c r="D442" s="115"/>
      <c r="E442" s="116"/>
      <c r="F442" s="116"/>
      <c r="G442" s="116"/>
      <c r="H442" s="117"/>
    </row>
    <row r="443" s="77" customFormat="1" ht="20.1" customHeight="1" spans="2:8">
      <c r="B443" s="114"/>
      <c r="C443" s="78"/>
      <c r="D443" s="115"/>
      <c r="E443" s="116"/>
      <c r="F443" s="116"/>
      <c r="G443" s="116"/>
      <c r="H443" s="117"/>
    </row>
    <row r="444" s="77" customFormat="1" ht="20.1" customHeight="1" spans="2:8">
      <c r="B444" s="114"/>
      <c r="C444" s="78"/>
      <c r="D444" s="115"/>
      <c r="E444" s="116"/>
      <c r="F444" s="116"/>
      <c r="G444" s="116"/>
      <c r="H444" s="117"/>
    </row>
    <row r="445" s="77" customFormat="1" ht="20.1" customHeight="1" spans="2:8">
      <c r="B445" s="114"/>
      <c r="C445" s="78"/>
      <c r="D445" s="115"/>
      <c r="E445" s="116"/>
      <c r="F445" s="116"/>
      <c r="G445" s="116"/>
      <c r="H445" s="117"/>
    </row>
    <row r="446" s="77" customFormat="1" ht="20.1" customHeight="1" spans="2:8">
      <c r="B446" s="114"/>
      <c r="C446" s="78"/>
      <c r="D446" s="115"/>
      <c r="E446" s="116"/>
      <c r="F446" s="116"/>
      <c r="G446" s="116"/>
      <c r="H446" s="117"/>
    </row>
    <row r="447" s="78" customFormat="1" ht="20.1" customHeight="1" spans="2:8">
      <c r="B447" s="128"/>
      <c r="C447" s="129"/>
      <c r="D447" s="129"/>
      <c r="E447" s="129"/>
      <c r="F447" s="130"/>
      <c r="G447" s="130"/>
      <c r="H447" s="129"/>
    </row>
    <row r="448" s="77" customFormat="1" ht="20.1" customHeight="1" spans="2:8">
      <c r="B448" s="131"/>
      <c r="C448" s="118"/>
      <c r="D448" s="118"/>
      <c r="E448" s="119"/>
      <c r="F448" s="118"/>
      <c r="G448" s="118"/>
      <c r="H448" s="118"/>
    </row>
    <row r="449" s="77" customFormat="1" ht="20.1" customHeight="1" spans="2:8">
      <c r="B449" s="118"/>
      <c r="C449" s="118"/>
      <c r="D449" s="118"/>
      <c r="E449" s="119"/>
      <c r="F449" s="118"/>
      <c r="G449" s="118"/>
      <c r="H449" s="118"/>
    </row>
    <row r="450" s="77" customFormat="1" ht="20.1" customHeight="1" spans="2:8">
      <c r="B450" s="118"/>
      <c r="C450" s="118"/>
      <c r="D450" s="118"/>
      <c r="E450" s="119"/>
      <c r="F450" s="118"/>
      <c r="G450" s="118"/>
      <c r="H450" s="118"/>
    </row>
    <row r="451" s="77" customFormat="1" ht="20.1" customHeight="1" spans="2:8">
      <c r="B451" s="114"/>
      <c r="C451" s="115"/>
      <c r="D451" s="115"/>
      <c r="E451" s="120"/>
      <c r="F451" s="118"/>
      <c r="G451" s="118"/>
      <c r="H451" s="118"/>
    </row>
    <row r="452" s="77" customFormat="1" ht="20.1" customHeight="1" spans="2:8">
      <c r="B452" s="121"/>
      <c r="D452" s="115"/>
      <c r="E452" s="122"/>
      <c r="F452" s="115"/>
      <c r="G452" s="115"/>
      <c r="H452" s="115"/>
    </row>
    <row r="453" s="77" customFormat="1" ht="20.1" customHeight="1" spans="2:8">
      <c r="B453" s="114"/>
      <c r="C453" s="123"/>
      <c r="D453" s="124"/>
      <c r="E453" s="125"/>
      <c r="F453" s="125"/>
      <c r="G453" s="125"/>
      <c r="H453" s="125"/>
    </row>
    <row r="454" s="77" customFormat="1" ht="20.1" customHeight="1" spans="2:8">
      <c r="B454" s="114"/>
      <c r="C454" s="123"/>
      <c r="D454" s="124"/>
      <c r="E454" s="125"/>
      <c r="F454" s="125"/>
      <c r="G454" s="125"/>
      <c r="H454" s="125"/>
    </row>
    <row r="455" s="77" customFormat="1" ht="20.1" customHeight="1" spans="2:8">
      <c r="B455" s="114"/>
      <c r="C455" s="123"/>
      <c r="D455" s="124"/>
      <c r="E455" s="125"/>
      <c r="F455" s="125"/>
      <c r="G455" s="125"/>
      <c r="H455" s="125"/>
    </row>
    <row r="456" s="77" customFormat="1" ht="20.1" customHeight="1" spans="2:8">
      <c r="B456" s="114"/>
      <c r="C456" s="123"/>
      <c r="D456" s="124"/>
      <c r="E456" s="125"/>
      <c r="F456" s="125"/>
      <c r="G456" s="125"/>
      <c r="H456" s="125"/>
    </row>
    <row r="457" s="77" customFormat="1" ht="20.1" customHeight="1" spans="2:8">
      <c r="B457" s="114"/>
      <c r="C457" s="123"/>
      <c r="D457" s="124"/>
      <c r="E457" s="125"/>
      <c r="F457" s="125"/>
      <c r="G457" s="125"/>
      <c r="H457" s="125"/>
    </row>
    <row r="458" s="77" customFormat="1" ht="20.1" customHeight="1" spans="2:8">
      <c r="B458" s="114"/>
      <c r="C458" s="123"/>
      <c r="D458" s="124"/>
      <c r="E458" s="125"/>
      <c r="F458" s="125"/>
      <c r="G458" s="125"/>
      <c r="H458" s="125"/>
    </row>
    <row r="459" s="77" customFormat="1" ht="20.1" customHeight="1" spans="2:8">
      <c r="B459" s="114"/>
      <c r="C459" s="123"/>
      <c r="D459" s="124"/>
      <c r="E459" s="125"/>
      <c r="F459" s="125"/>
      <c r="G459" s="125"/>
      <c r="H459" s="125"/>
    </row>
    <row r="460" s="77" customFormat="1" ht="20.1" customHeight="1" spans="2:8">
      <c r="B460" s="114"/>
      <c r="C460" s="78"/>
      <c r="D460" s="124"/>
      <c r="E460" s="134"/>
      <c r="F460" s="117"/>
      <c r="G460" s="117"/>
      <c r="H460" s="125"/>
    </row>
    <row r="461" s="77" customFormat="1" ht="20.1" customHeight="1" spans="2:8">
      <c r="B461" s="114"/>
      <c r="C461" s="78"/>
      <c r="D461" s="124"/>
      <c r="E461" s="117"/>
      <c r="F461" s="117"/>
      <c r="G461" s="117"/>
      <c r="H461" s="125"/>
    </row>
    <row r="462" s="77" customFormat="1" ht="20.1" customHeight="1" spans="2:8">
      <c r="B462" s="114"/>
      <c r="C462" s="123"/>
      <c r="D462" s="124"/>
      <c r="E462" s="125"/>
      <c r="F462" s="125"/>
      <c r="G462" s="125"/>
      <c r="H462" s="125"/>
    </row>
    <row r="463" s="77" customFormat="1" ht="20.1" customHeight="1" spans="2:8">
      <c r="B463" s="114"/>
      <c r="C463" s="123"/>
      <c r="D463" s="124"/>
      <c r="E463" s="125"/>
      <c r="F463" s="125"/>
      <c r="G463" s="125"/>
      <c r="H463" s="125"/>
    </row>
    <row r="464" s="77" customFormat="1" ht="20.1" customHeight="1" spans="2:8">
      <c r="B464" s="114"/>
      <c r="C464" s="123"/>
      <c r="D464" s="124"/>
      <c r="E464" s="125"/>
      <c r="F464" s="125"/>
      <c r="G464" s="125"/>
      <c r="H464" s="125"/>
    </row>
    <row r="465" s="77" customFormat="1" ht="20.1" customHeight="1" spans="2:8">
      <c r="B465" s="114"/>
      <c r="C465" s="123"/>
      <c r="D465" s="124"/>
      <c r="E465" s="125"/>
      <c r="F465" s="125"/>
      <c r="G465" s="125"/>
      <c r="H465" s="125"/>
    </row>
    <row r="466" s="77" customFormat="1" ht="20.1" customHeight="1" spans="2:8">
      <c r="B466" s="114"/>
      <c r="C466" s="123"/>
      <c r="D466" s="124"/>
      <c r="E466" s="125"/>
      <c r="F466" s="125"/>
      <c r="G466" s="125"/>
      <c r="H466" s="125"/>
    </row>
    <row r="467" s="77" customFormat="1" ht="20.1" customHeight="1" spans="2:8">
      <c r="B467" s="114"/>
      <c r="C467" s="123"/>
      <c r="D467" s="124"/>
      <c r="E467" s="125"/>
      <c r="F467" s="125"/>
      <c r="G467" s="125"/>
      <c r="H467" s="125"/>
    </row>
    <row r="468" s="77" customFormat="1" ht="20.1" customHeight="1" spans="2:8">
      <c r="B468" s="114"/>
      <c r="C468" s="123"/>
      <c r="D468" s="124"/>
      <c r="E468" s="125"/>
      <c r="F468" s="125"/>
      <c r="G468" s="125"/>
      <c r="H468" s="125"/>
    </row>
    <row r="469" s="77" customFormat="1" ht="20.1" customHeight="1" spans="2:8">
      <c r="B469" s="114"/>
      <c r="C469" s="123"/>
      <c r="D469" s="124"/>
      <c r="E469" s="125"/>
      <c r="F469" s="125"/>
      <c r="G469" s="125"/>
      <c r="H469" s="125"/>
    </row>
    <row r="470" s="77" customFormat="1" ht="20.1" customHeight="1" spans="2:8">
      <c r="B470" s="114"/>
      <c r="C470" s="123"/>
      <c r="D470" s="124"/>
      <c r="E470" s="125"/>
      <c r="F470" s="125"/>
      <c r="G470" s="125"/>
      <c r="H470" s="125"/>
    </row>
    <row r="471" s="77" customFormat="1" ht="20.1" customHeight="1" spans="2:8">
      <c r="B471" s="114"/>
      <c r="C471" s="123"/>
      <c r="D471" s="124"/>
      <c r="E471" s="125"/>
      <c r="F471" s="125"/>
      <c r="G471" s="125"/>
      <c r="H471" s="125"/>
    </row>
    <row r="472" s="77" customFormat="1" ht="20.1" customHeight="1" spans="2:8">
      <c r="B472" s="114"/>
      <c r="C472" s="123"/>
      <c r="D472" s="124"/>
      <c r="E472" s="125"/>
      <c r="F472" s="125"/>
      <c r="G472" s="125"/>
      <c r="H472" s="125"/>
    </row>
    <row r="473" s="77" customFormat="1" ht="20.1" customHeight="1" spans="2:8">
      <c r="B473" s="114"/>
      <c r="C473" s="123"/>
      <c r="D473" s="124"/>
      <c r="E473" s="125"/>
      <c r="F473" s="125"/>
      <c r="G473" s="125"/>
      <c r="H473" s="125"/>
    </row>
    <row r="474" s="77" customFormat="1" ht="20.1" customHeight="1" spans="2:8">
      <c r="B474" s="114"/>
      <c r="C474" s="123"/>
      <c r="D474" s="124"/>
      <c r="E474" s="125"/>
      <c r="F474" s="125"/>
      <c r="G474" s="125"/>
      <c r="H474" s="125"/>
    </row>
    <row r="475" s="77" customFormat="1" ht="20.1" customHeight="1" spans="2:8">
      <c r="B475" s="114"/>
      <c r="C475" s="78"/>
      <c r="D475" s="124"/>
      <c r="E475" s="117"/>
      <c r="F475" s="116"/>
      <c r="G475" s="116"/>
      <c r="H475" s="125"/>
    </row>
    <row r="476" s="77" customFormat="1" ht="20.1" customHeight="1" spans="2:8">
      <c r="B476" s="114"/>
      <c r="C476" s="78"/>
      <c r="D476" s="124"/>
      <c r="E476" s="117"/>
      <c r="F476" s="117"/>
      <c r="G476" s="117"/>
      <c r="H476" s="125"/>
    </row>
    <row r="477" s="77" customFormat="1" ht="20.1" customHeight="1" spans="2:8">
      <c r="B477" s="114"/>
      <c r="C477" s="78"/>
      <c r="D477" s="124"/>
      <c r="E477" s="117"/>
      <c r="F477" s="117"/>
      <c r="G477" s="117"/>
      <c r="H477" s="125"/>
    </row>
    <row r="478" s="77" customFormat="1" ht="20.1" customHeight="1" spans="2:8">
      <c r="B478" s="114"/>
      <c r="C478" s="78"/>
      <c r="D478" s="124"/>
      <c r="E478" s="117"/>
      <c r="F478" s="117"/>
      <c r="G478" s="117"/>
      <c r="H478" s="125"/>
    </row>
    <row r="479" s="77" customFormat="1" ht="20.1" customHeight="1" spans="2:8">
      <c r="B479" s="114"/>
      <c r="C479" s="78"/>
      <c r="D479" s="124"/>
      <c r="E479" s="117"/>
      <c r="F479" s="117"/>
      <c r="G479" s="117"/>
      <c r="H479" s="125"/>
    </row>
    <row r="480" s="77" customFormat="1" ht="20.1" customHeight="1" spans="2:8">
      <c r="B480" s="114"/>
      <c r="C480" s="78"/>
      <c r="D480" s="124"/>
      <c r="E480" s="117"/>
      <c r="F480" s="117"/>
      <c r="G480" s="117"/>
      <c r="H480" s="125"/>
    </row>
    <row r="481" s="77" customFormat="1" ht="20.1" customHeight="1" spans="2:8">
      <c r="B481" s="114"/>
      <c r="C481" s="78"/>
      <c r="D481" s="124"/>
      <c r="E481" s="117"/>
      <c r="F481" s="117"/>
      <c r="G481" s="117"/>
      <c r="H481" s="125"/>
    </row>
    <row r="482" s="77" customFormat="1" ht="20.1" customHeight="1" spans="2:8">
      <c r="B482" s="114"/>
      <c r="C482" s="78"/>
      <c r="D482" s="124"/>
      <c r="E482" s="117"/>
      <c r="F482" s="117"/>
      <c r="G482" s="117"/>
      <c r="H482" s="125"/>
    </row>
    <row r="483" s="77" customFormat="1" ht="20.1" customHeight="1" spans="2:8">
      <c r="B483" s="118"/>
      <c r="C483" s="118"/>
      <c r="D483" s="118"/>
      <c r="E483" s="119"/>
      <c r="F483" s="118"/>
      <c r="G483" s="118"/>
      <c r="H483" s="118"/>
    </row>
    <row r="484" s="77" customFormat="1" ht="20.1" customHeight="1" spans="2:8">
      <c r="B484" s="131"/>
      <c r="C484" s="118"/>
      <c r="D484" s="118"/>
      <c r="E484" s="119"/>
      <c r="F484" s="118"/>
      <c r="G484" s="118"/>
      <c r="H484" s="118"/>
    </row>
    <row r="485" s="77" customFormat="1" ht="20.1" customHeight="1" spans="2:8">
      <c r="B485" s="118"/>
      <c r="C485" s="118"/>
      <c r="D485" s="118"/>
      <c r="E485" s="119"/>
      <c r="F485" s="118"/>
      <c r="G485" s="118"/>
      <c r="H485" s="118"/>
    </row>
    <row r="486" s="77" customFormat="1" ht="20.1" customHeight="1" spans="2:8">
      <c r="B486" s="118"/>
      <c r="C486" s="118"/>
      <c r="D486" s="118"/>
      <c r="E486" s="119"/>
      <c r="F486" s="118"/>
      <c r="G486" s="118"/>
      <c r="H486" s="118"/>
    </row>
    <row r="487" s="77" customFormat="1" ht="20.1" customHeight="1" spans="2:8">
      <c r="B487" s="114"/>
      <c r="C487" s="115"/>
      <c r="D487" s="115"/>
      <c r="E487" s="120"/>
      <c r="F487" s="118"/>
      <c r="G487" s="118"/>
      <c r="H487" s="118"/>
    </row>
    <row r="488" s="77" customFormat="1" ht="20.1" customHeight="1" spans="2:8">
      <c r="B488" s="121"/>
      <c r="D488" s="115"/>
      <c r="E488" s="122"/>
      <c r="F488" s="115"/>
      <c r="G488" s="115"/>
      <c r="H488" s="115"/>
    </row>
    <row r="489" s="77" customFormat="1" ht="20.1" customHeight="1" spans="2:8">
      <c r="B489" s="114"/>
      <c r="C489" s="78"/>
      <c r="D489" s="124"/>
      <c r="E489" s="117"/>
      <c r="F489" s="117"/>
      <c r="G489" s="117"/>
      <c r="H489" s="125"/>
    </row>
    <row r="490" s="77" customFormat="1" ht="20.1" customHeight="1" spans="2:8">
      <c r="B490" s="114"/>
      <c r="C490" s="78"/>
      <c r="D490" s="124"/>
      <c r="E490" s="117"/>
      <c r="F490" s="117"/>
      <c r="G490" s="117"/>
      <c r="H490" s="125"/>
    </row>
    <row r="491" s="77" customFormat="1" ht="20.1" customHeight="1" spans="2:8">
      <c r="B491" s="114"/>
      <c r="C491" s="78"/>
      <c r="D491" s="124"/>
      <c r="E491" s="117"/>
      <c r="F491" s="117"/>
      <c r="G491" s="117"/>
      <c r="H491" s="125"/>
    </row>
    <row r="492" s="77" customFormat="1" ht="20.1" customHeight="1" spans="2:8">
      <c r="B492" s="114"/>
      <c r="C492" s="78"/>
      <c r="D492" s="124"/>
      <c r="E492" s="117"/>
      <c r="F492" s="117"/>
      <c r="G492" s="117"/>
      <c r="H492" s="125"/>
    </row>
    <row r="493" s="77" customFormat="1" ht="20.1" customHeight="1" spans="2:8">
      <c r="B493" s="114"/>
      <c r="C493" s="78"/>
      <c r="D493" s="124"/>
      <c r="E493" s="117"/>
      <c r="F493" s="117"/>
      <c r="G493" s="117"/>
      <c r="H493" s="125"/>
    </row>
    <row r="494" s="77" customFormat="1" ht="20.1" customHeight="1" spans="2:8">
      <c r="B494" s="114"/>
      <c r="C494" s="78"/>
      <c r="D494" s="124"/>
      <c r="E494" s="117"/>
      <c r="F494" s="117"/>
      <c r="G494" s="117"/>
      <c r="H494" s="125"/>
    </row>
    <row r="495" s="77" customFormat="1" ht="20.1" customHeight="1" spans="2:8">
      <c r="B495" s="114"/>
      <c r="C495" s="78"/>
      <c r="D495" s="124"/>
      <c r="E495" s="117"/>
      <c r="F495" s="117"/>
      <c r="G495" s="117"/>
      <c r="H495" s="125"/>
    </row>
    <row r="496" s="77" customFormat="1" ht="20.1" customHeight="1" spans="2:8">
      <c r="B496" s="114"/>
      <c r="C496" s="78"/>
      <c r="D496" s="124"/>
      <c r="E496" s="117"/>
      <c r="F496" s="117"/>
      <c r="G496" s="117"/>
      <c r="H496" s="125"/>
    </row>
    <row r="497" s="77" customFormat="1" ht="20.1" customHeight="1" spans="2:8">
      <c r="B497" s="114"/>
      <c r="C497" s="78"/>
      <c r="D497" s="124"/>
      <c r="E497" s="117"/>
      <c r="F497" s="117"/>
      <c r="G497" s="117"/>
      <c r="H497" s="125"/>
    </row>
    <row r="498" s="77" customFormat="1" ht="20.1" customHeight="1" spans="2:8">
      <c r="B498" s="114"/>
      <c r="C498" s="78"/>
      <c r="D498" s="124"/>
      <c r="E498" s="117"/>
      <c r="F498" s="117"/>
      <c r="G498" s="117"/>
      <c r="H498" s="125"/>
    </row>
    <row r="499" s="77" customFormat="1" ht="20.1" customHeight="1" spans="2:8">
      <c r="B499" s="114"/>
      <c r="C499" s="78"/>
      <c r="D499" s="124"/>
      <c r="E499" s="117"/>
      <c r="F499" s="117"/>
      <c r="G499" s="117"/>
      <c r="H499" s="125"/>
    </row>
    <row r="500" s="77" customFormat="1" ht="20.1" customHeight="1" spans="2:8">
      <c r="B500" s="114"/>
      <c r="C500" s="78"/>
      <c r="D500" s="124"/>
      <c r="E500" s="117"/>
      <c r="F500" s="117"/>
      <c r="G500" s="117"/>
      <c r="H500" s="125"/>
    </row>
    <row r="501" s="77" customFormat="1" ht="20.1" customHeight="1" spans="2:8">
      <c r="B501" s="114"/>
      <c r="C501" s="78"/>
      <c r="D501" s="124"/>
      <c r="E501" s="117"/>
      <c r="F501" s="117"/>
      <c r="G501" s="117"/>
      <c r="H501" s="125"/>
    </row>
    <row r="502" s="77" customFormat="1" ht="20.1" customHeight="1" spans="2:8">
      <c r="B502" s="114"/>
      <c r="C502" s="78"/>
      <c r="D502" s="124"/>
      <c r="E502" s="117"/>
      <c r="F502" s="117"/>
      <c r="G502" s="117"/>
      <c r="H502" s="125"/>
    </row>
    <row r="503" s="77" customFormat="1" ht="20.1" customHeight="1" spans="2:8">
      <c r="B503" s="114"/>
      <c r="C503" s="78"/>
      <c r="D503" s="124"/>
      <c r="E503" s="117"/>
      <c r="F503" s="117"/>
      <c r="G503" s="117"/>
      <c r="H503" s="125"/>
    </row>
    <row r="504" s="77" customFormat="1" ht="20.1" customHeight="1" spans="2:8">
      <c r="B504" s="114"/>
      <c r="C504" s="78"/>
      <c r="D504" s="124"/>
      <c r="E504" s="117"/>
      <c r="F504" s="117"/>
      <c r="G504" s="117"/>
      <c r="H504" s="125"/>
    </row>
    <row r="505" s="77" customFormat="1" ht="20.1" customHeight="1" spans="2:8">
      <c r="B505" s="114"/>
      <c r="C505" s="78"/>
      <c r="D505" s="124"/>
      <c r="E505" s="117"/>
      <c r="F505" s="117"/>
      <c r="G505" s="117"/>
      <c r="H505" s="125"/>
    </row>
    <row r="506" s="77" customFormat="1" ht="20.1" customHeight="1" spans="2:8">
      <c r="B506" s="114"/>
      <c r="C506" s="78"/>
      <c r="D506" s="124"/>
      <c r="E506" s="117"/>
      <c r="F506" s="117"/>
      <c r="G506" s="117"/>
      <c r="H506" s="125"/>
    </row>
    <row r="507" s="77" customFormat="1" ht="20.1" customHeight="1" spans="2:8">
      <c r="B507" s="114"/>
      <c r="C507" s="78"/>
      <c r="D507" s="124"/>
      <c r="E507" s="117"/>
      <c r="F507" s="116"/>
      <c r="G507" s="116"/>
      <c r="H507" s="125"/>
    </row>
    <row r="508" s="77" customFormat="1" ht="20.1" customHeight="1" spans="2:8">
      <c r="B508" s="114"/>
      <c r="C508" s="78"/>
      <c r="D508" s="124"/>
      <c r="E508" s="116"/>
      <c r="F508" s="116"/>
      <c r="G508" s="116"/>
      <c r="H508" s="125"/>
    </row>
    <row r="509" s="77" customFormat="1" ht="20.1" customHeight="1" spans="2:8">
      <c r="B509" s="114"/>
      <c r="C509" s="78"/>
      <c r="D509" s="115"/>
      <c r="E509" s="116"/>
      <c r="F509" s="116"/>
      <c r="G509" s="116"/>
      <c r="H509" s="125"/>
    </row>
    <row r="510" s="77" customFormat="1" ht="20.1" customHeight="1" spans="2:8">
      <c r="B510" s="114"/>
      <c r="C510" s="123"/>
      <c r="D510" s="124"/>
      <c r="E510" s="125"/>
      <c r="F510" s="126"/>
      <c r="G510" s="126"/>
      <c r="H510" s="125"/>
    </row>
    <row r="511" s="77" customFormat="1" ht="20.1" customHeight="1" spans="2:8">
      <c r="B511" s="114"/>
      <c r="C511" s="123"/>
      <c r="D511" s="124"/>
      <c r="E511" s="125"/>
      <c r="F511" s="127"/>
      <c r="G511" s="127"/>
      <c r="H511" s="125"/>
    </row>
    <row r="512" s="77" customFormat="1" ht="20.1" customHeight="1" spans="2:8">
      <c r="B512" s="114"/>
      <c r="C512" s="123"/>
      <c r="D512" s="124"/>
      <c r="E512" s="125"/>
      <c r="F512" s="127"/>
      <c r="G512" s="127"/>
      <c r="H512" s="125"/>
    </row>
    <row r="513" s="77" customFormat="1" ht="20.1" customHeight="1" spans="2:8">
      <c r="B513" s="114"/>
      <c r="C513" s="123"/>
      <c r="D513" s="124"/>
      <c r="E513" s="125"/>
      <c r="F513" s="126"/>
      <c r="G513" s="126"/>
      <c r="H513" s="125"/>
    </row>
    <row r="514" s="77" customFormat="1" ht="20.1" customHeight="1" spans="2:8">
      <c r="B514" s="114"/>
      <c r="C514" s="123"/>
      <c r="D514" s="124"/>
      <c r="E514" s="125"/>
      <c r="F514" s="126"/>
      <c r="G514" s="126"/>
      <c r="H514" s="125"/>
    </row>
    <row r="515" s="77" customFormat="1" ht="20.1" customHeight="1" spans="2:8">
      <c r="B515" s="114"/>
      <c r="C515" s="123"/>
      <c r="D515" s="124"/>
      <c r="E515" s="125"/>
      <c r="F515" s="126"/>
      <c r="G515" s="126"/>
      <c r="H515" s="125"/>
    </row>
    <row r="516" s="77" customFormat="1" ht="20.1" customHeight="1" spans="2:8">
      <c r="B516" s="114"/>
      <c r="C516" s="123"/>
      <c r="D516" s="124"/>
      <c r="E516" s="125"/>
      <c r="F516" s="126"/>
      <c r="G516" s="126"/>
      <c r="H516" s="125"/>
    </row>
    <row r="517" s="77" customFormat="1" ht="20.1" customHeight="1" spans="2:8">
      <c r="B517" s="114"/>
      <c r="C517" s="123"/>
      <c r="D517" s="124"/>
      <c r="E517" s="125"/>
      <c r="F517" s="126"/>
      <c r="G517" s="126"/>
      <c r="H517" s="125"/>
    </row>
    <row r="518" s="77" customFormat="1" ht="20.1" customHeight="1" spans="2:8">
      <c r="B518" s="114"/>
      <c r="C518" s="123"/>
      <c r="D518" s="124"/>
      <c r="E518" s="125"/>
      <c r="F518" s="126"/>
      <c r="G518" s="126"/>
      <c r="H518" s="125"/>
    </row>
    <row r="519" s="78" customFormat="1" ht="20.1" customHeight="1" spans="2:8">
      <c r="B519" s="128"/>
      <c r="C519" s="129"/>
      <c r="D519" s="129"/>
      <c r="E519" s="129"/>
      <c r="F519" s="130"/>
      <c r="G519" s="130"/>
      <c r="H519" s="129"/>
    </row>
    <row r="520" s="77" customFormat="1" ht="20.1" customHeight="1" spans="2:8">
      <c r="B520" s="118"/>
      <c r="C520" s="118"/>
      <c r="D520" s="118"/>
      <c r="E520" s="119"/>
      <c r="F520" s="118"/>
      <c r="G520" s="118"/>
      <c r="H520" s="118"/>
    </row>
    <row r="521" s="77" customFormat="1" ht="20.1" customHeight="1" spans="2:8">
      <c r="B521" s="131"/>
      <c r="C521" s="118"/>
      <c r="D521" s="118"/>
      <c r="E521" s="119"/>
      <c r="F521" s="118"/>
      <c r="G521" s="118"/>
      <c r="H521" s="118"/>
    </row>
    <row r="522" s="77" customFormat="1" ht="20.1" customHeight="1" spans="2:8">
      <c r="B522" s="118"/>
      <c r="C522" s="118"/>
      <c r="D522" s="118"/>
      <c r="E522" s="119"/>
      <c r="F522" s="118"/>
      <c r="G522" s="118"/>
      <c r="H522" s="118"/>
    </row>
    <row r="523" s="77" customFormat="1" ht="20.1" customHeight="1" spans="2:8">
      <c r="B523" s="118"/>
      <c r="C523" s="118"/>
      <c r="D523" s="118"/>
      <c r="E523" s="119"/>
      <c r="F523" s="118"/>
      <c r="G523" s="118"/>
      <c r="H523" s="118"/>
    </row>
    <row r="524" s="77" customFormat="1" ht="20.1" customHeight="1" spans="2:8">
      <c r="B524" s="114"/>
      <c r="C524" s="115"/>
      <c r="D524" s="115"/>
      <c r="E524" s="120"/>
      <c r="F524" s="118"/>
      <c r="G524" s="118"/>
      <c r="H524" s="118"/>
    </row>
    <row r="525" s="77" customFormat="1" ht="20.1" customHeight="1" spans="2:8">
      <c r="B525" s="121"/>
      <c r="D525" s="115"/>
      <c r="E525" s="122"/>
      <c r="F525" s="115"/>
      <c r="G525" s="115"/>
      <c r="H525" s="115"/>
    </row>
    <row r="526" s="77" customFormat="1" ht="20.1" customHeight="1" spans="2:8">
      <c r="B526" s="114"/>
      <c r="C526" s="123"/>
      <c r="D526" s="124"/>
      <c r="E526" s="125"/>
      <c r="F526" s="125"/>
      <c r="G526" s="125"/>
      <c r="H526" s="125"/>
    </row>
    <row r="527" s="77" customFormat="1" ht="20.1" customHeight="1" spans="2:8">
      <c r="B527" s="114"/>
      <c r="C527" s="123"/>
      <c r="D527" s="124"/>
      <c r="E527" s="125"/>
      <c r="F527" s="125"/>
      <c r="G527" s="125"/>
      <c r="H527" s="125"/>
    </row>
    <row r="528" s="77" customFormat="1" ht="20.1" customHeight="1" spans="2:8">
      <c r="B528" s="114"/>
      <c r="C528" s="123"/>
      <c r="D528" s="124"/>
      <c r="E528" s="125"/>
      <c r="F528" s="125"/>
      <c r="G528" s="125"/>
      <c r="H528" s="125"/>
    </row>
    <row r="529" s="77" customFormat="1" ht="20.1" customHeight="1" spans="2:8">
      <c r="B529" s="114"/>
      <c r="C529" s="123"/>
      <c r="D529" s="124"/>
      <c r="E529" s="125"/>
      <c r="F529" s="125"/>
      <c r="G529" s="125"/>
      <c r="H529" s="125"/>
    </row>
    <row r="530" s="77" customFormat="1" ht="20.1" customHeight="1" spans="2:8">
      <c r="B530" s="114"/>
      <c r="C530" s="123"/>
      <c r="D530" s="124"/>
      <c r="E530" s="125"/>
      <c r="F530" s="125"/>
      <c r="G530" s="125"/>
      <c r="H530" s="125"/>
    </row>
    <row r="531" s="77" customFormat="1" ht="20.1" customHeight="1" spans="2:8">
      <c r="B531" s="114"/>
      <c r="C531" s="123"/>
      <c r="D531" s="124"/>
      <c r="E531" s="125"/>
      <c r="F531" s="125"/>
      <c r="G531" s="125"/>
      <c r="H531" s="125"/>
    </row>
    <row r="532" s="77" customFormat="1" ht="20.1" customHeight="1" spans="2:8">
      <c r="B532" s="114"/>
      <c r="C532" s="123"/>
      <c r="D532" s="124"/>
      <c r="E532" s="125"/>
      <c r="F532" s="125"/>
      <c r="G532" s="125"/>
      <c r="H532" s="125"/>
    </row>
    <row r="533" s="77" customFormat="1" ht="20.1" customHeight="1" spans="2:8">
      <c r="B533" s="114"/>
      <c r="C533" s="78"/>
      <c r="D533" s="124"/>
      <c r="E533" s="116"/>
      <c r="F533" s="116"/>
      <c r="G533" s="116"/>
      <c r="H533" s="125"/>
    </row>
    <row r="534" s="77" customFormat="1" ht="20.1" customHeight="1" spans="2:8">
      <c r="B534" s="114"/>
      <c r="C534" s="78"/>
      <c r="D534" s="115"/>
      <c r="E534" s="116"/>
      <c r="F534" s="116"/>
      <c r="G534" s="116"/>
      <c r="H534" s="116"/>
    </row>
    <row r="535" s="77" customFormat="1" ht="20.1" customHeight="1" spans="2:8">
      <c r="B535" s="114"/>
      <c r="C535" s="123"/>
      <c r="D535" s="124"/>
      <c r="E535" s="125"/>
      <c r="F535" s="125"/>
      <c r="G535" s="125"/>
      <c r="H535" s="125"/>
    </row>
    <row r="536" s="77" customFormat="1" ht="20.1" customHeight="1" spans="2:8">
      <c r="B536" s="114"/>
      <c r="C536" s="123"/>
      <c r="D536" s="124"/>
      <c r="E536" s="125"/>
      <c r="F536" s="125"/>
      <c r="G536" s="125"/>
      <c r="H536" s="125"/>
    </row>
    <row r="537" s="77" customFormat="1" ht="20.1" customHeight="1" spans="2:8">
      <c r="B537" s="114"/>
      <c r="C537" s="123"/>
      <c r="D537" s="124"/>
      <c r="E537" s="125"/>
      <c r="F537" s="125"/>
      <c r="G537" s="125"/>
      <c r="H537" s="125"/>
    </row>
    <row r="538" s="77" customFormat="1" ht="20.1" customHeight="1" spans="2:8">
      <c r="B538" s="114"/>
      <c r="C538" s="123"/>
      <c r="D538" s="124"/>
      <c r="E538" s="125"/>
      <c r="F538" s="125"/>
      <c r="G538" s="125"/>
      <c r="H538" s="125"/>
    </row>
    <row r="539" s="77" customFormat="1" ht="20.1" customHeight="1" spans="2:8">
      <c r="B539" s="114"/>
      <c r="C539" s="123"/>
      <c r="D539" s="124"/>
      <c r="E539" s="125"/>
      <c r="F539" s="125"/>
      <c r="G539" s="125"/>
      <c r="H539" s="125"/>
    </row>
    <row r="540" s="77" customFormat="1" ht="20.1" customHeight="1" spans="2:8">
      <c r="B540" s="114"/>
      <c r="C540" s="123"/>
      <c r="D540" s="124"/>
      <c r="E540" s="125"/>
      <c r="F540" s="125"/>
      <c r="G540" s="125"/>
      <c r="H540" s="125"/>
    </row>
    <row r="541" s="77" customFormat="1" ht="20.1" customHeight="1" spans="2:8">
      <c r="B541" s="114"/>
      <c r="C541" s="123"/>
      <c r="D541" s="124"/>
      <c r="E541" s="125"/>
      <c r="F541" s="125"/>
      <c r="G541" s="125"/>
      <c r="H541" s="125"/>
    </row>
    <row r="542" s="77" customFormat="1" ht="20.1" customHeight="1" spans="2:8">
      <c r="B542" s="114"/>
      <c r="C542" s="78"/>
      <c r="D542" s="115"/>
      <c r="E542" s="116"/>
      <c r="F542" s="116"/>
      <c r="G542" s="116"/>
      <c r="H542" s="117"/>
    </row>
    <row r="543" s="77" customFormat="1" ht="20.1" customHeight="1" spans="2:8">
      <c r="B543" s="114"/>
      <c r="C543" s="78"/>
      <c r="D543" s="115"/>
      <c r="E543" s="116"/>
      <c r="F543" s="116"/>
      <c r="G543" s="116"/>
      <c r="H543" s="117"/>
    </row>
    <row r="544" s="77" customFormat="1" ht="20.1" customHeight="1" spans="2:8">
      <c r="B544" s="114"/>
      <c r="C544" s="78"/>
      <c r="D544" s="115"/>
      <c r="E544" s="116"/>
      <c r="F544" s="116"/>
      <c r="G544" s="116"/>
      <c r="H544" s="117"/>
    </row>
    <row r="545" s="77" customFormat="1" ht="20.1" customHeight="1" spans="2:8">
      <c r="B545" s="114"/>
      <c r="C545" s="123"/>
      <c r="D545" s="124"/>
      <c r="E545" s="125"/>
      <c r="F545" s="126"/>
      <c r="G545" s="126"/>
      <c r="H545" s="125"/>
    </row>
    <row r="546" s="77" customFormat="1" ht="20.1" customHeight="1" spans="2:8">
      <c r="B546" s="114"/>
      <c r="C546" s="123"/>
      <c r="D546" s="124"/>
      <c r="E546" s="125"/>
      <c r="F546" s="127"/>
      <c r="G546" s="127"/>
      <c r="H546" s="125"/>
    </row>
    <row r="547" s="77" customFormat="1" ht="20.1" customHeight="1" spans="2:8">
      <c r="B547" s="114"/>
      <c r="C547" s="123"/>
      <c r="D547" s="124"/>
      <c r="E547" s="125"/>
      <c r="F547" s="127"/>
      <c r="G547" s="127"/>
      <c r="H547" s="125"/>
    </row>
    <row r="548" s="77" customFormat="1" ht="20.1" customHeight="1" spans="2:8">
      <c r="B548" s="114"/>
      <c r="C548" s="123"/>
      <c r="D548" s="124"/>
      <c r="E548" s="125"/>
      <c r="F548" s="126"/>
      <c r="G548" s="126"/>
      <c r="H548" s="125"/>
    </row>
    <row r="549" s="77" customFormat="1" ht="20.1" customHeight="1" spans="2:8">
      <c r="B549" s="114"/>
      <c r="C549" s="78"/>
      <c r="D549" s="115"/>
      <c r="E549" s="116"/>
      <c r="F549" s="116"/>
      <c r="G549" s="116"/>
      <c r="H549" s="117"/>
    </row>
    <row r="550" s="77" customFormat="1" ht="20.1" customHeight="1" spans="2:8">
      <c r="B550" s="114"/>
      <c r="C550" s="78"/>
      <c r="D550" s="115"/>
      <c r="E550" s="116"/>
      <c r="F550" s="116"/>
      <c r="G550" s="116"/>
      <c r="H550" s="117"/>
    </row>
    <row r="551" s="77" customFormat="1" ht="20.1" customHeight="1" spans="2:8">
      <c r="B551" s="114"/>
      <c r="C551" s="78"/>
      <c r="D551" s="115"/>
      <c r="E551" s="116"/>
      <c r="F551" s="116"/>
      <c r="G551" s="116"/>
      <c r="H551" s="117"/>
    </row>
    <row r="552" s="77" customFormat="1" ht="20.1" customHeight="1" spans="2:8">
      <c r="B552" s="114"/>
      <c r="C552" s="78"/>
      <c r="D552" s="115"/>
      <c r="E552" s="116"/>
      <c r="F552" s="116"/>
      <c r="G552" s="116"/>
      <c r="H552" s="117"/>
    </row>
    <row r="553" s="77" customFormat="1" ht="20.1" customHeight="1" spans="2:8">
      <c r="B553" s="114"/>
      <c r="C553" s="78"/>
      <c r="D553" s="115"/>
      <c r="E553" s="116"/>
      <c r="F553" s="116"/>
      <c r="G553" s="116"/>
      <c r="H553" s="117"/>
    </row>
    <row r="554" s="77" customFormat="1" ht="20.1" customHeight="1" spans="2:8">
      <c r="B554" s="114"/>
      <c r="C554" s="78"/>
      <c r="D554" s="115"/>
      <c r="E554" s="116"/>
      <c r="F554" s="116"/>
      <c r="G554" s="116"/>
      <c r="H554" s="117"/>
    </row>
    <row r="555" s="78" customFormat="1" ht="20.1" customHeight="1" spans="2:8">
      <c r="B555" s="128"/>
      <c r="C555" s="129"/>
      <c r="D555" s="129"/>
      <c r="E555" s="129"/>
      <c r="F555" s="130"/>
      <c r="G555" s="130"/>
      <c r="H555" s="129"/>
    </row>
    <row r="556" s="77" customFormat="1" ht="20.1" customHeight="1" spans="2:8">
      <c r="B556" s="118"/>
      <c r="C556" s="118"/>
      <c r="D556" s="118"/>
      <c r="E556" s="119"/>
      <c r="F556" s="118"/>
      <c r="G556" s="118"/>
      <c r="H556" s="118"/>
    </row>
    <row r="557" s="77" customFormat="1" ht="20.1" customHeight="1" spans="2:8">
      <c r="B557" s="131"/>
      <c r="C557" s="118"/>
      <c r="D557" s="118"/>
      <c r="E557" s="119"/>
      <c r="F557" s="118"/>
      <c r="G557" s="118"/>
      <c r="H557" s="118"/>
    </row>
    <row r="558" s="77" customFormat="1" ht="20.1" customHeight="1" spans="2:8">
      <c r="B558" s="118"/>
      <c r="C558" s="118"/>
      <c r="D558" s="118"/>
      <c r="E558" s="119"/>
      <c r="F558" s="118"/>
      <c r="G558" s="118"/>
      <c r="H558" s="118"/>
    </row>
    <row r="559" s="77" customFormat="1" ht="20.1" customHeight="1" spans="2:8">
      <c r="B559" s="118"/>
      <c r="C559" s="118"/>
      <c r="D559" s="118"/>
      <c r="E559" s="119"/>
      <c r="F559" s="118"/>
      <c r="G559" s="118"/>
      <c r="H559" s="118"/>
    </row>
    <row r="560" s="77" customFormat="1" ht="20.1" customHeight="1" spans="2:8">
      <c r="B560" s="114"/>
      <c r="C560" s="115"/>
      <c r="D560" s="115"/>
      <c r="E560" s="120"/>
      <c r="F560" s="118"/>
      <c r="G560" s="118"/>
      <c r="H560" s="118"/>
    </row>
    <row r="561" s="77" customFormat="1" ht="20.1" customHeight="1" spans="2:8">
      <c r="B561" s="121"/>
      <c r="D561" s="115"/>
      <c r="E561" s="122"/>
      <c r="F561" s="115"/>
      <c r="G561" s="115"/>
      <c r="H561" s="115"/>
    </row>
    <row r="562" s="77" customFormat="1" ht="20.1" customHeight="1" spans="2:8">
      <c r="B562" s="114"/>
      <c r="C562" s="123"/>
      <c r="D562" s="124"/>
      <c r="E562" s="125"/>
      <c r="F562" s="125"/>
      <c r="G562" s="125"/>
      <c r="H562" s="125"/>
    </row>
    <row r="563" s="77" customFormat="1" ht="20.1" customHeight="1" spans="2:8">
      <c r="B563" s="114"/>
      <c r="C563" s="123"/>
      <c r="D563" s="124"/>
      <c r="E563" s="125"/>
      <c r="F563" s="125"/>
      <c r="G563" s="125"/>
      <c r="H563" s="125"/>
    </row>
    <row r="564" s="77" customFormat="1" ht="20.1" customHeight="1" spans="2:8">
      <c r="B564" s="114"/>
      <c r="C564" s="123"/>
      <c r="D564" s="124"/>
      <c r="E564" s="125"/>
      <c r="F564" s="125"/>
      <c r="G564" s="125"/>
      <c r="H564" s="125"/>
    </row>
    <row r="565" s="77" customFormat="1" ht="20.1" customHeight="1" spans="2:8">
      <c r="B565" s="114"/>
      <c r="C565" s="123"/>
      <c r="D565" s="124"/>
      <c r="E565" s="125"/>
      <c r="F565" s="125"/>
      <c r="G565" s="125"/>
      <c r="H565" s="125"/>
    </row>
    <row r="566" s="77" customFormat="1" ht="20.1" customHeight="1" spans="2:8">
      <c r="B566" s="114"/>
      <c r="C566" s="123"/>
      <c r="D566" s="124"/>
      <c r="E566" s="125"/>
      <c r="F566" s="125"/>
      <c r="G566" s="125"/>
      <c r="H566" s="125"/>
    </row>
    <row r="567" s="77" customFormat="1" ht="20.1" customHeight="1" spans="2:8">
      <c r="B567" s="114"/>
      <c r="C567" s="123"/>
      <c r="D567" s="124"/>
      <c r="E567" s="125"/>
      <c r="F567" s="125"/>
      <c r="G567" s="125"/>
      <c r="H567" s="125"/>
    </row>
    <row r="568" s="77" customFormat="1" ht="20.1" customHeight="1" spans="2:8">
      <c r="B568" s="114"/>
      <c r="C568" s="123"/>
      <c r="D568" s="124"/>
      <c r="E568" s="125"/>
      <c r="F568" s="125"/>
      <c r="G568" s="125"/>
      <c r="H568" s="125"/>
    </row>
    <row r="569" s="77" customFormat="1" ht="20.1" customHeight="1" spans="2:8">
      <c r="B569" s="114"/>
      <c r="C569" s="123"/>
      <c r="D569" s="124"/>
      <c r="E569" s="125"/>
      <c r="F569" s="117"/>
      <c r="G569" s="117"/>
      <c r="H569" s="125"/>
    </row>
    <row r="570" s="77" customFormat="1" ht="20.1" customHeight="1" spans="2:8">
      <c r="B570" s="114"/>
      <c r="C570" s="78"/>
      <c r="D570" s="124"/>
      <c r="E570" s="125"/>
      <c r="F570" s="117"/>
      <c r="G570" s="117"/>
      <c r="H570" s="125"/>
    </row>
    <row r="571" s="77" customFormat="1" ht="20.1" customHeight="1" spans="2:8">
      <c r="B571" s="114"/>
      <c r="C571" s="123"/>
      <c r="D571" s="124"/>
      <c r="E571" s="125"/>
      <c r="F571" s="125"/>
      <c r="G571" s="125"/>
      <c r="H571" s="125"/>
    </row>
    <row r="572" s="77" customFormat="1" ht="20.1" customHeight="1" spans="2:8">
      <c r="B572" s="114"/>
      <c r="C572" s="123"/>
      <c r="D572" s="124"/>
      <c r="E572" s="125"/>
      <c r="F572" s="125"/>
      <c r="G572" s="125"/>
      <c r="H572" s="125"/>
    </row>
    <row r="573" s="77" customFormat="1" ht="20.1" customHeight="1" spans="2:8">
      <c r="B573" s="114"/>
      <c r="C573" s="123"/>
      <c r="D573" s="124"/>
      <c r="E573" s="125"/>
      <c r="F573" s="125"/>
      <c r="G573" s="125"/>
      <c r="H573" s="125"/>
    </row>
    <row r="574" s="77" customFormat="1" ht="20.1" customHeight="1" spans="2:8">
      <c r="B574" s="114"/>
      <c r="C574" s="123"/>
      <c r="D574" s="124"/>
      <c r="E574" s="125"/>
      <c r="F574" s="125"/>
      <c r="G574" s="125"/>
      <c r="H574" s="125"/>
    </row>
    <row r="575" s="77" customFormat="1" ht="20.1" customHeight="1" spans="2:8">
      <c r="B575" s="114"/>
      <c r="C575" s="123"/>
      <c r="D575" s="124"/>
      <c r="E575" s="125"/>
      <c r="F575" s="125"/>
      <c r="G575" s="125"/>
      <c r="H575" s="125"/>
    </row>
    <row r="576" s="77" customFormat="1" ht="20.1" customHeight="1" spans="2:8">
      <c r="B576" s="114"/>
      <c r="C576" s="123"/>
      <c r="D576" s="124"/>
      <c r="E576" s="125"/>
      <c r="F576" s="125"/>
      <c r="G576" s="125"/>
      <c r="H576" s="125"/>
    </row>
    <row r="577" s="77" customFormat="1" ht="20.1" customHeight="1" spans="2:8">
      <c r="B577" s="114"/>
      <c r="C577" s="123"/>
      <c r="D577" s="124"/>
      <c r="E577" s="125"/>
      <c r="F577" s="125"/>
      <c r="G577" s="125"/>
      <c r="H577" s="125"/>
    </row>
    <row r="578" s="77" customFormat="1" ht="20.1" customHeight="1" spans="2:8">
      <c r="B578" s="114"/>
      <c r="C578" s="135"/>
      <c r="D578" s="124"/>
      <c r="E578" s="117"/>
      <c r="F578" s="117"/>
      <c r="G578" s="117"/>
      <c r="H578" s="125"/>
    </row>
    <row r="579" s="77" customFormat="1" ht="20.1" customHeight="1" spans="2:8">
      <c r="B579" s="114"/>
      <c r="C579" s="78"/>
      <c r="D579" s="115"/>
      <c r="E579" s="116"/>
      <c r="F579" s="116"/>
      <c r="G579" s="116"/>
      <c r="H579" s="117"/>
    </row>
    <row r="580" s="77" customFormat="1" ht="20.1" customHeight="1" spans="2:8">
      <c r="B580" s="114"/>
      <c r="C580" s="78"/>
      <c r="D580" s="115"/>
      <c r="E580" s="116"/>
      <c r="F580" s="116"/>
      <c r="G580" s="116"/>
      <c r="H580" s="117"/>
    </row>
    <row r="581" s="77" customFormat="1" ht="20.1" customHeight="1" spans="2:8">
      <c r="B581" s="114"/>
      <c r="C581" s="78"/>
      <c r="D581" s="115"/>
      <c r="E581" s="116"/>
      <c r="F581" s="116"/>
      <c r="G581" s="116"/>
      <c r="H581" s="117"/>
    </row>
    <row r="582" s="77" customFormat="1" ht="20.1" customHeight="1" spans="2:8">
      <c r="B582" s="114"/>
      <c r="C582" s="78"/>
      <c r="D582" s="115"/>
      <c r="E582" s="116"/>
      <c r="F582" s="116"/>
      <c r="G582" s="116"/>
      <c r="H582" s="117"/>
    </row>
    <row r="583" s="77" customFormat="1" ht="20.1" customHeight="1" spans="2:8">
      <c r="B583" s="114"/>
      <c r="C583" s="123"/>
      <c r="D583" s="124"/>
      <c r="E583" s="125"/>
      <c r="F583" s="126"/>
      <c r="G583" s="126"/>
      <c r="H583" s="125"/>
    </row>
    <row r="584" s="77" customFormat="1" ht="20.1" customHeight="1" spans="2:8">
      <c r="B584" s="114"/>
      <c r="C584" s="123"/>
      <c r="D584" s="124"/>
      <c r="E584" s="125"/>
      <c r="F584" s="127"/>
      <c r="G584" s="127"/>
      <c r="H584" s="125"/>
    </row>
    <row r="585" s="77" customFormat="1" ht="20.1" customHeight="1" spans="2:8">
      <c r="B585" s="114"/>
      <c r="C585" s="123"/>
      <c r="D585" s="124"/>
      <c r="E585" s="125"/>
      <c r="F585" s="127"/>
      <c r="G585" s="127"/>
      <c r="H585" s="125"/>
    </row>
    <row r="586" s="77" customFormat="1" ht="20.1" customHeight="1" spans="2:8">
      <c r="B586" s="114"/>
      <c r="C586" s="123"/>
      <c r="D586" s="124"/>
      <c r="E586" s="125"/>
      <c r="F586" s="126"/>
      <c r="G586" s="126"/>
      <c r="H586" s="125"/>
    </row>
    <row r="587" s="77" customFormat="1" ht="20.1" customHeight="1" spans="2:8">
      <c r="B587" s="114"/>
      <c r="C587" s="78"/>
      <c r="D587" s="115"/>
      <c r="E587" s="116"/>
      <c r="F587" s="116"/>
      <c r="G587" s="116"/>
      <c r="H587" s="117"/>
    </row>
    <row r="588" s="77" customFormat="1" ht="20.1" customHeight="1" spans="2:8">
      <c r="B588" s="114"/>
      <c r="C588" s="78"/>
      <c r="D588" s="115"/>
      <c r="E588" s="116"/>
      <c r="F588" s="116"/>
      <c r="G588" s="116"/>
      <c r="H588" s="117"/>
    </row>
    <row r="589" s="77" customFormat="1" ht="20.1" customHeight="1" spans="2:8">
      <c r="B589" s="114"/>
      <c r="C589" s="78"/>
      <c r="D589" s="115"/>
      <c r="E589" s="116"/>
      <c r="F589" s="116"/>
      <c r="G589" s="116"/>
      <c r="H589" s="117"/>
    </row>
    <row r="590" s="77" customFormat="1" ht="20.1" customHeight="1" spans="2:8">
      <c r="B590" s="114"/>
      <c r="C590" s="78"/>
      <c r="D590" s="115"/>
      <c r="E590" s="116"/>
      <c r="F590" s="116"/>
      <c r="G590" s="116"/>
      <c r="H590" s="117"/>
    </row>
    <row r="591" s="78" customFormat="1" ht="20.1" customHeight="1" spans="2:8">
      <c r="B591" s="128"/>
      <c r="C591" s="129"/>
      <c r="D591" s="129"/>
      <c r="E591" s="129"/>
      <c r="F591" s="130"/>
      <c r="G591" s="130"/>
      <c r="H591" s="129"/>
    </row>
    <row r="592" s="77" customFormat="1" ht="20.1" customHeight="1" spans="2:8">
      <c r="B592" s="118"/>
      <c r="C592" s="118"/>
      <c r="D592" s="118"/>
      <c r="E592" s="119"/>
      <c r="F592" s="118"/>
      <c r="G592" s="118"/>
      <c r="H592" s="118"/>
    </row>
    <row r="593" s="77" customFormat="1" ht="20.1" customHeight="1" spans="2:8">
      <c r="B593" s="131"/>
      <c r="C593" s="118"/>
      <c r="D593" s="118"/>
      <c r="E593" s="119"/>
      <c r="F593" s="118"/>
      <c r="G593" s="118"/>
      <c r="H593" s="118"/>
    </row>
    <row r="594" s="77" customFormat="1" ht="20.1" customHeight="1" spans="2:8">
      <c r="B594" s="118"/>
      <c r="C594" s="118"/>
      <c r="D594" s="118"/>
      <c r="E594" s="119"/>
      <c r="F594" s="118"/>
      <c r="G594" s="118"/>
      <c r="H594" s="118"/>
    </row>
    <row r="595" s="77" customFormat="1" ht="20.1" customHeight="1" spans="2:8">
      <c r="B595" s="118"/>
      <c r="C595" s="118"/>
      <c r="D595" s="118"/>
      <c r="E595" s="119"/>
      <c r="F595" s="118"/>
      <c r="G595" s="118"/>
      <c r="H595" s="118"/>
    </row>
    <row r="596" s="77" customFormat="1" ht="20.1" customHeight="1" spans="2:8">
      <c r="B596" s="114"/>
      <c r="C596" s="115"/>
      <c r="D596" s="115"/>
      <c r="E596" s="120"/>
      <c r="F596" s="118"/>
      <c r="G596" s="118"/>
      <c r="H596" s="118"/>
    </row>
    <row r="597" s="77" customFormat="1" ht="20.1" customHeight="1" spans="2:8">
      <c r="B597" s="121"/>
      <c r="D597" s="115"/>
      <c r="E597" s="122"/>
      <c r="F597" s="115"/>
      <c r="G597" s="115"/>
      <c r="H597" s="115"/>
    </row>
    <row r="598" s="77" customFormat="1" ht="20.1" customHeight="1" spans="2:8">
      <c r="B598" s="114"/>
      <c r="C598" s="123"/>
      <c r="D598" s="124"/>
      <c r="E598" s="125"/>
      <c r="F598" s="125"/>
      <c r="G598" s="125"/>
      <c r="H598" s="125"/>
    </row>
    <row r="599" s="77" customFormat="1" ht="20.1" customHeight="1" spans="2:8">
      <c r="B599" s="114"/>
      <c r="C599" s="123"/>
      <c r="D599" s="124"/>
      <c r="E599" s="125"/>
      <c r="F599" s="125"/>
      <c r="G599" s="125"/>
      <c r="H599" s="125"/>
    </row>
    <row r="600" s="77" customFormat="1" ht="20.1" customHeight="1" spans="2:8">
      <c r="B600" s="114"/>
      <c r="C600" s="123"/>
      <c r="D600" s="124"/>
      <c r="E600" s="125"/>
      <c r="F600" s="125"/>
      <c r="G600" s="125"/>
      <c r="H600" s="125"/>
    </row>
    <row r="601" s="77" customFormat="1" ht="20.1" customHeight="1" spans="2:8">
      <c r="B601" s="114"/>
      <c r="C601" s="123"/>
      <c r="D601" s="124"/>
      <c r="E601" s="125"/>
      <c r="F601" s="125"/>
      <c r="G601" s="125"/>
      <c r="H601" s="125"/>
    </row>
    <row r="602" s="77" customFormat="1" ht="20.1" customHeight="1" spans="2:8">
      <c r="B602" s="114"/>
      <c r="C602" s="123"/>
      <c r="D602" s="124"/>
      <c r="E602" s="125"/>
      <c r="F602" s="125"/>
      <c r="G602" s="125"/>
      <c r="H602" s="125"/>
    </row>
    <row r="603" s="77" customFormat="1" ht="20.1" customHeight="1" spans="2:8">
      <c r="B603" s="114"/>
      <c r="C603" s="123"/>
      <c r="D603" s="124"/>
      <c r="E603" s="125"/>
      <c r="F603" s="125"/>
      <c r="G603" s="125"/>
      <c r="H603" s="125"/>
    </row>
    <row r="604" s="77" customFormat="1" ht="20.1" customHeight="1" spans="2:8">
      <c r="B604" s="114"/>
      <c r="C604" s="123"/>
      <c r="D604" s="124"/>
      <c r="E604" s="125"/>
      <c r="F604" s="125"/>
      <c r="G604" s="125"/>
      <c r="H604" s="125"/>
    </row>
    <row r="605" s="77" customFormat="1" ht="20.1" customHeight="1" spans="2:8">
      <c r="B605" s="114"/>
      <c r="C605" s="123"/>
      <c r="D605" s="124"/>
      <c r="E605" s="125"/>
      <c r="F605" s="117"/>
      <c r="G605" s="117"/>
      <c r="H605" s="125"/>
    </row>
    <row r="606" s="77" customFormat="1" ht="20.1" customHeight="1" spans="2:8">
      <c r="B606" s="114"/>
      <c r="C606" s="78"/>
      <c r="D606" s="124"/>
      <c r="E606" s="125"/>
      <c r="F606" s="117"/>
      <c r="G606" s="117"/>
      <c r="H606" s="125"/>
    </row>
    <row r="607" s="77" customFormat="1" ht="20.1" customHeight="1" spans="2:8">
      <c r="B607" s="114"/>
      <c r="C607" s="123"/>
      <c r="D607" s="124"/>
      <c r="E607" s="125"/>
      <c r="F607" s="125"/>
      <c r="G607" s="125"/>
      <c r="H607" s="125"/>
    </row>
    <row r="608" s="77" customFormat="1" ht="20.1" customHeight="1" spans="2:8">
      <c r="B608" s="114"/>
      <c r="C608" s="123"/>
      <c r="D608" s="124"/>
      <c r="E608" s="125"/>
      <c r="F608" s="125"/>
      <c r="G608" s="125"/>
      <c r="H608" s="125"/>
    </row>
    <row r="609" s="77" customFormat="1" ht="20.1" customHeight="1" spans="2:8">
      <c r="B609" s="114"/>
      <c r="C609" s="123"/>
      <c r="D609" s="124"/>
      <c r="E609" s="125"/>
      <c r="F609" s="125"/>
      <c r="G609" s="125"/>
      <c r="H609" s="125"/>
    </row>
    <row r="610" s="77" customFormat="1" ht="20.1" customHeight="1" spans="2:8">
      <c r="B610" s="114"/>
      <c r="C610" s="123"/>
      <c r="D610" s="124"/>
      <c r="E610" s="125"/>
      <c r="F610" s="125"/>
      <c r="G610" s="125"/>
      <c r="H610" s="125"/>
    </row>
    <row r="611" s="77" customFormat="1" ht="20.1" customHeight="1" spans="2:8">
      <c r="B611" s="114"/>
      <c r="C611" s="123"/>
      <c r="D611" s="124"/>
      <c r="E611" s="125"/>
      <c r="F611" s="125"/>
      <c r="G611" s="125"/>
      <c r="H611" s="125"/>
    </row>
    <row r="612" s="77" customFormat="1" ht="20.1" customHeight="1" spans="2:8">
      <c r="B612" s="114"/>
      <c r="C612" s="123"/>
      <c r="D612" s="124"/>
      <c r="E612" s="125"/>
      <c r="F612" s="125"/>
      <c r="G612" s="125"/>
      <c r="H612" s="125"/>
    </row>
    <row r="613" s="77" customFormat="1" ht="20.1" customHeight="1" spans="2:8">
      <c r="B613" s="114"/>
      <c r="C613" s="123"/>
      <c r="D613" s="124"/>
      <c r="E613" s="125"/>
      <c r="F613" s="125"/>
      <c r="G613" s="125"/>
      <c r="H613" s="125"/>
    </row>
    <row r="614" s="77" customFormat="1" ht="20.1" customHeight="1" spans="2:8">
      <c r="B614" s="114"/>
      <c r="C614" s="123"/>
      <c r="D614" s="124"/>
      <c r="E614" s="117"/>
      <c r="F614" s="117"/>
      <c r="G614" s="117"/>
      <c r="H614" s="125"/>
    </row>
    <row r="615" s="77" customFormat="1" ht="20.1" customHeight="1" spans="2:8">
      <c r="B615" s="114"/>
      <c r="C615" s="123"/>
      <c r="D615" s="124"/>
      <c r="E615" s="117"/>
      <c r="F615" s="117"/>
      <c r="G615" s="117"/>
      <c r="H615" s="125"/>
    </row>
    <row r="616" s="77" customFormat="1" ht="20.1" customHeight="1" spans="2:8">
      <c r="B616" s="114"/>
      <c r="C616" s="123"/>
      <c r="D616" s="124"/>
      <c r="E616" s="117"/>
      <c r="F616" s="117"/>
      <c r="G616" s="117"/>
      <c r="H616" s="125"/>
    </row>
    <row r="617" s="77" customFormat="1" ht="20.1" customHeight="1" spans="2:8">
      <c r="B617" s="114"/>
      <c r="C617" s="123"/>
      <c r="D617" s="124"/>
      <c r="E617" s="117"/>
      <c r="F617" s="117"/>
      <c r="G617" s="117"/>
      <c r="H617" s="125"/>
    </row>
    <row r="618" s="77" customFormat="1" ht="20.1" customHeight="1" spans="2:8">
      <c r="B618" s="114"/>
      <c r="C618" s="123"/>
      <c r="D618" s="124"/>
      <c r="E618" s="117"/>
      <c r="F618" s="117"/>
      <c r="G618" s="117"/>
      <c r="H618" s="125"/>
    </row>
    <row r="619" s="77" customFormat="1" ht="20.1" customHeight="1" spans="2:8">
      <c r="B619" s="114"/>
      <c r="C619" s="123"/>
      <c r="D619" s="124"/>
      <c r="E619" s="117"/>
      <c r="F619" s="117"/>
      <c r="G619" s="117"/>
      <c r="H619" s="125"/>
    </row>
    <row r="620" s="77" customFormat="1" ht="20.1" customHeight="1" spans="2:8">
      <c r="B620" s="114"/>
      <c r="C620" s="123"/>
      <c r="D620" s="124"/>
      <c r="E620" s="117"/>
      <c r="F620" s="117"/>
      <c r="G620" s="117"/>
      <c r="H620" s="125"/>
    </row>
    <row r="621" s="77" customFormat="1" ht="20.1" customHeight="1" spans="2:8">
      <c r="B621" s="114"/>
      <c r="C621" s="78"/>
      <c r="D621" s="115"/>
      <c r="E621" s="116"/>
      <c r="F621" s="116"/>
      <c r="G621" s="116"/>
      <c r="H621" s="125"/>
    </row>
    <row r="622" s="77" customFormat="1" ht="20.1" customHeight="1" spans="2:8">
      <c r="B622" s="114"/>
      <c r="C622" s="123"/>
      <c r="D622" s="124"/>
      <c r="E622" s="125"/>
      <c r="F622" s="126"/>
      <c r="G622" s="126"/>
      <c r="H622" s="125"/>
    </row>
    <row r="623" s="77" customFormat="1" ht="20.1" customHeight="1" spans="2:8">
      <c r="B623" s="114"/>
      <c r="C623" s="123"/>
      <c r="D623" s="124"/>
      <c r="E623" s="125"/>
      <c r="F623" s="127"/>
      <c r="G623" s="127"/>
      <c r="H623" s="125"/>
    </row>
    <row r="624" s="77" customFormat="1" ht="20.1" customHeight="1" spans="2:8">
      <c r="B624" s="114"/>
      <c r="C624" s="123"/>
      <c r="D624" s="124"/>
      <c r="E624" s="125"/>
      <c r="F624" s="127"/>
      <c r="G624" s="127"/>
      <c r="H624" s="125"/>
    </row>
    <row r="625" s="77" customFormat="1" ht="20.1" customHeight="1" spans="2:8">
      <c r="B625" s="114"/>
      <c r="C625" s="123"/>
      <c r="D625" s="124"/>
      <c r="E625" s="125"/>
      <c r="F625" s="126"/>
      <c r="G625" s="126"/>
      <c r="H625" s="125"/>
    </row>
    <row r="626" s="77" customFormat="1" ht="20.1" customHeight="1" spans="2:8">
      <c r="B626" s="114"/>
      <c r="C626" s="78"/>
      <c r="D626" s="115"/>
      <c r="E626" s="116"/>
      <c r="F626" s="116"/>
      <c r="G626" s="116"/>
      <c r="H626" s="117"/>
    </row>
    <row r="627" s="78" customFormat="1" ht="20.1" customHeight="1" spans="2:8">
      <c r="B627" s="128"/>
      <c r="C627" s="129"/>
      <c r="D627" s="129"/>
      <c r="E627" s="129"/>
      <c r="F627" s="130"/>
      <c r="G627" s="130"/>
      <c r="H627" s="129"/>
    </row>
    <row r="628" s="79" customFormat="1"/>
    <row r="629" s="79" customFormat="1"/>
    <row r="630" s="79" customFormat="1"/>
    <row r="631" s="79" customFormat="1"/>
    <row r="632" s="79" customFormat="1"/>
    <row r="633" s="79" customFormat="1"/>
    <row r="634" s="79" customFormat="1"/>
    <row r="635" s="79" customFormat="1"/>
    <row r="636" s="79" customFormat="1"/>
    <row r="637" s="79" customFormat="1"/>
    <row r="638" s="79" customFormat="1"/>
    <row r="639" s="79" customFormat="1"/>
    <row r="640" s="79" customFormat="1"/>
    <row r="641" s="79" customFormat="1"/>
    <row r="642" s="79" customFormat="1"/>
    <row r="643" s="79" customFormat="1"/>
    <row r="644" s="79" customFormat="1"/>
    <row r="645" s="79" customFormat="1"/>
    <row r="646" s="79" customFormat="1"/>
    <row r="647" s="79" customFormat="1"/>
    <row r="648" s="79" customFormat="1"/>
    <row r="649" s="79" customFormat="1"/>
    <row r="650" s="79" customFormat="1"/>
    <row r="651" s="79" customFormat="1"/>
    <row r="652" s="79" customFormat="1"/>
    <row r="653" s="79" customFormat="1"/>
    <row r="654" s="79" customFormat="1"/>
    <row r="655" s="79" customFormat="1"/>
    <row r="656" s="79" customFormat="1"/>
    <row r="657" s="79" customFormat="1"/>
    <row r="658" s="79" customFormat="1"/>
    <row r="659" s="79" customFormat="1"/>
    <row r="660" s="79" customFormat="1"/>
    <row r="661" s="79" customFormat="1"/>
    <row r="662" s="79" customFormat="1"/>
    <row r="663" s="79" customFormat="1"/>
    <row r="664" s="79" customFormat="1"/>
    <row r="665" s="79" customFormat="1"/>
    <row r="666" s="79" customFormat="1"/>
    <row r="667" s="79" customFormat="1"/>
    <row r="668" s="79" customFormat="1"/>
    <row r="669" s="79" customFormat="1"/>
    <row r="670" s="79" customFormat="1"/>
    <row r="671" s="79" customFormat="1"/>
    <row r="672" s="79" customFormat="1"/>
    <row r="673" s="79" customFormat="1"/>
    <row r="674" s="79" customFormat="1"/>
    <row r="675" s="79" customFormat="1"/>
    <row r="676" s="79" customFormat="1"/>
    <row r="677" s="79" customFormat="1"/>
    <row r="678" s="79" customFormat="1"/>
    <row r="679" s="79" customFormat="1"/>
    <row r="680" s="79" customFormat="1"/>
    <row r="681" s="79" customFormat="1"/>
    <row r="682" s="79" customFormat="1"/>
    <row r="683" s="79" customFormat="1"/>
    <row r="684" s="79" customFormat="1"/>
    <row r="685" s="79" customFormat="1"/>
    <row r="686" s="79" customFormat="1"/>
    <row r="687" s="79" customFormat="1"/>
    <row r="688" s="79" customFormat="1"/>
    <row r="689" s="79" customFormat="1"/>
    <row r="690" s="79" customFormat="1"/>
    <row r="691" s="79" customFormat="1"/>
    <row r="692" s="79" customFormat="1"/>
    <row r="693" s="79" customFormat="1"/>
    <row r="694" s="79" customFormat="1"/>
    <row r="695" s="79" customFormat="1"/>
    <row r="696" s="79" customFormat="1"/>
    <row r="697" s="79" customFormat="1"/>
    <row r="698" s="79" customFormat="1"/>
    <row r="699" s="79" customFormat="1"/>
    <row r="700" s="79" customFormat="1"/>
    <row r="701" s="79" customFormat="1"/>
    <row r="702" s="79" customFormat="1"/>
    <row r="703" s="79" customFormat="1"/>
    <row r="704" s="79" customFormat="1"/>
    <row r="705" s="79" customFormat="1"/>
    <row r="706" s="79" customFormat="1"/>
    <row r="707" s="79" customFormat="1"/>
    <row r="708" s="79" customFormat="1"/>
    <row r="709" s="79" customFormat="1"/>
    <row r="710" s="79" customFormat="1"/>
    <row r="711" s="79" customFormat="1"/>
    <row r="712" s="79" customFormat="1"/>
    <row r="713" s="79" customFormat="1"/>
    <row r="714" s="79" customFormat="1"/>
    <row r="715" s="79" customFormat="1"/>
    <row r="716" s="79" customFormat="1"/>
    <row r="717" s="79" customFormat="1"/>
    <row r="718" s="79" customFormat="1"/>
    <row r="719" s="79" customFormat="1"/>
    <row r="720" s="79" customFormat="1"/>
    <row r="721" s="79" customFormat="1"/>
    <row r="722" s="79" customFormat="1"/>
    <row r="723" s="79" customFormat="1"/>
    <row r="724" s="79" customFormat="1"/>
    <row r="725" s="79" customFormat="1"/>
    <row r="726" s="79" customFormat="1"/>
    <row r="727" s="79" customFormat="1"/>
    <row r="728" s="79" customFormat="1"/>
    <row r="729" s="79" customFormat="1"/>
    <row r="730" s="79" customFormat="1"/>
    <row r="731" s="79" customFormat="1"/>
    <row r="732" s="79" customFormat="1"/>
    <row r="733" s="79" customFormat="1"/>
    <row r="734" s="79" customFormat="1"/>
    <row r="735" s="79" customFormat="1"/>
    <row r="736" s="79" customFormat="1"/>
    <row r="737" s="79" customFormat="1"/>
    <row r="738" s="79" customFormat="1"/>
    <row r="739" s="79" customFormat="1"/>
    <row r="740" s="79" customFormat="1"/>
    <row r="741" s="79" customFormat="1"/>
    <row r="742" s="79" customFormat="1"/>
    <row r="743" s="79" customFormat="1"/>
    <row r="744" s="79" customFormat="1"/>
    <row r="745" s="79" customFormat="1"/>
    <row r="746" s="79" customFormat="1"/>
    <row r="747" s="79" customFormat="1"/>
    <row r="748" s="79" customFormat="1"/>
    <row r="749" s="79" customFormat="1"/>
    <row r="750" s="79" customFormat="1"/>
    <row r="751" s="79" customFormat="1"/>
    <row r="752" s="79" customFormat="1"/>
    <row r="753" s="79" customFormat="1"/>
    <row r="754" s="79" customFormat="1"/>
    <row r="755" s="79" customFormat="1"/>
    <row r="756" s="79" customFormat="1"/>
    <row r="757" s="79" customFormat="1"/>
    <row r="758" s="79" customFormat="1"/>
    <row r="759" s="79" customFormat="1"/>
    <row r="760" s="79" customFormat="1"/>
    <row r="761" s="79" customFormat="1"/>
    <row r="762" s="79" customFormat="1"/>
    <row r="763" s="79" customFormat="1"/>
    <row r="764" s="79" customFormat="1"/>
    <row r="765" s="79" customFormat="1"/>
    <row r="766" s="79" customFormat="1"/>
    <row r="767" s="79" customFormat="1"/>
    <row r="768" s="79" customFormat="1"/>
    <row r="769" s="79" customFormat="1"/>
    <row r="770" s="79" customFormat="1"/>
    <row r="771" s="79" customFormat="1"/>
    <row r="772" s="79" customFormat="1"/>
    <row r="773" s="79" customFormat="1"/>
    <row r="774" s="79" customFormat="1"/>
    <row r="775" s="79" customFormat="1"/>
    <row r="776" s="79" customFormat="1"/>
    <row r="777" s="79" customFormat="1"/>
    <row r="778" s="79" customFormat="1"/>
    <row r="779" s="79" customFormat="1"/>
    <row r="780" s="79" customFormat="1"/>
    <row r="781" s="79" customFormat="1"/>
    <row r="782" s="79" customFormat="1"/>
    <row r="783" s="79" customFormat="1"/>
    <row r="784" s="79" customFormat="1"/>
    <row r="785" s="79" customFormat="1"/>
    <row r="786" s="79" customFormat="1"/>
    <row r="787" s="79" customFormat="1"/>
    <row r="788" s="79" customFormat="1"/>
    <row r="789" s="79" customFormat="1"/>
    <row r="790" s="79" customFormat="1"/>
    <row r="791" s="79" customFormat="1"/>
    <row r="792" s="79" customFormat="1"/>
    <row r="793" s="79" customFormat="1"/>
    <row r="794" s="79" customFormat="1"/>
    <row r="795" s="79" customFormat="1"/>
    <row r="796" s="79" customFormat="1"/>
    <row r="797" s="79" customFormat="1"/>
    <row r="798" s="79" customFormat="1"/>
    <row r="799" s="79" customFormat="1"/>
    <row r="800" s="79" customFormat="1"/>
    <row r="801" s="79" customFormat="1"/>
    <row r="802" s="79" customFormat="1"/>
    <row r="803" s="79" customFormat="1"/>
    <row r="804" s="79" customFormat="1"/>
    <row r="805" s="79" customFormat="1"/>
    <row r="806" s="79" customFormat="1"/>
    <row r="807" s="79" customFormat="1"/>
    <row r="808" s="79" customFormat="1"/>
    <row r="809" s="79" customFormat="1"/>
    <row r="810" s="79" customFormat="1"/>
    <row r="811" s="79" customFormat="1"/>
    <row r="812" s="79" customFormat="1"/>
    <row r="813" s="79" customFormat="1"/>
    <row r="814" s="79" customFormat="1"/>
    <row r="815" s="79" customFormat="1"/>
    <row r="816" s="79" customFormat="1"/>
    <row r="817" s="79" customFormat="1"/>
    <row r="818" s="79" customFormat="1"/>
    <row r="819" s="79" customFormat="1"/>
    <row r="820" s="79" customFormat="1"/>
    <row r="821" s="79" customFormat="1"/>
    <row r="822" s="79" customFormat="1"/>
    <row r="823" s="79" customFormat="1"/>
    <row r="824" s="79" customFormat="1"/>
    <row r="825" s="79" customFormat="1"/>
    <row r="826" s="79" customFormat="1"/>
    <row r="827" s="79" customFormat="1"/>
    <row r="828" s="79" customFormat="1"/>
    <row r="829" s="79" customFormat="1"/>
    <row r="830" s="79" customFormat="1"/>
    <row r="831" s="79" customFormat="1"/>
    <row r="832" s="79" customFormat="1"/>
    <row r="833" s="79" customFormat="1"/>
    <row r="834" s="79" customFormat="1"/>
    <row r="835" s="79" customFormat="1"/>
    <row r="836" s="79" customFormat="1"/>
    <row r="837" s="79" customFormat="1"/>
    <row r="838" s="79" customFormat="1"/>
    <row r="839" s="79" customFormat="1"/>
    <row r="840" s="79" customFormat="1"/>
    <row r="841" s="79" customFormat="1"/>
    <row r="842" s="79" customFormat="1"/>
    <row r="843" s="79" customFormat="1"/>
    <row r="844" s="79" customFormat="1"/>
    <row r="845" s="79" customFormat="1"/>
    <row r="846" s="79" customFormat="1"/>
    <row r="847" s="79" customFormat="1"/>
    <row r="848" s="79" customFormat="1"/>
    <row r="849" s="79" customFormat="1"/>
    <row r="850" s="79" customFormat="1"/>
    <row r="851" s="79" customFormat="1"/>
    <row r="852" s="79" customFormat="1"/>
    <row r="853" s="79" customFormat="1"/>
    <row r="854" s="79" customFormat="1"/>
    <row r="855" s="79" customFormat="1"/>
    <row r="856" s="79" customFormat="1"/>
    <row r="857" s="79" customFormat="1"/>
    <row r="858" s="79" customFormat="1"/>
    <row r="859" s="79" customFormat="1"/>
    <row r="860" s="79" customFormat="1"/>
    <row r="861" s="79" customFormat="1"/>
    <row r="862" s="79" customFormat="1"/>
    <row r="863" s="79" customFormat="1"/>
    <row r="864" s="79" customFormat="1"/>
    <row r="865" s="79" customFormat="1"/>
    <row r="866" s="79" customFormat="1"/>
    <row r="867" s="79" customFormat="1"/>
    <row r="868" s="79" customFormat="1"/>
    <row r="869" s="79" customFormat="1"/>
    <row r="870" s="79" customFormat="1"/>
    <row r="871" s="79" customFormat="1"/>
    <row r="872" s="79" customFormat="1"/>
    <row r="873" s="79" customFormat="1"/>
  </sheetData>
  <mergeCells count="6">
    <mergeCell ref="B1:H1"/>
    <mergeCell ref="B2:H2"/>
    <mergeCell ref="F3:H3"/>
    <mergeCell ref="B3:B4"/>
    <mergeCell ref="C3:C4"/>
    <mergeCell ref="E3:E4"/>
  </mergeCells>
  <printOptions horizontalCentered="1"/>
  <pageMargins left="0.984251968503937" right="0.748031496062992" top="0.984251968503937" bottom="0.984251968503937" header="0.511811023622047" footer="0.511811023622047"/>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4" sqref="C4"/>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5"/>
  <sheetViews>
    <sheetView workbookViewId="0">
      <selection activeCell="A44" sqref="A44"/>
    </sheetView>
  </sheetViews>
  <sheetFormatPr defaultColWidth="9" defaultRowHeight="13.5" outlineLevelCol="4"/>
  <cols>
    <col min="1" max="1" width="34.2583333333333" customWidth="1"/>
    <col min="5" max="5" width="9.375"/>
  </cols>
  <sheetData>
    <row r="1" spans="2:5">
      <c r="B1" t="s">
        <v>241</v>
      </c>
      <c r="E1">
        <v>1.05</v>
      </c>
    </row>
    <row r="2" spans="1:5">
      <c r="A2" t="s">
        <v>242</v>
      </c>
      <c r="B2">
        <v>330</v>
      </c>
      <c r="D2">
        <v>310.56</v>
      </c>
      <c r="E2">
        <f t="shared" ref="E2:E7" si="0">D2*$E$1</f>
        <v>326.088</v>
      </c>
    </row>
    <row r="3" spans="1:5">
      <c r="A3" t="s">
        <v>243</v>
      </c>
      <c r="B3">
        <v>430</v>
      </c>
      <c r="D3">
        <v>405.29</v>
      </c>
      <c r="E3">
        <f t="shared" si="0"/>
        <v>425.5545</v>
      </c>
    </row>
    <row r="4" spans="1:5">
      <c r="A4" t="s">
        <v>244</v>
      </c>
      <c r="B4">
        <v>330</v>
      </c>
      <c r="D4">
        <v>310.56</v>
      </c>
      <c r="E4">
        <f t="shared" si="0"/>
        <v>326.088</v>
      </c>
    </row>
    <row r="5" spans="1:5">
      <c r="A5" t="s">
        <v>245</v>
      </c>
      <c r="B5">
        <v>330</v>
      </c>
      <c r="D5">
        <v>310.56</v>
      </c>
      <c r="E5">
        <f t="shared" si="0"/>
        <v>326.088</v>
      </c>
    </row>
    <row r="6" spans="1:5">
      <c r="A6" t="s">
        <v>246</v>
      </c>
      <c r="B6">
        <v>280</v>
      </c>
      <c r="D6">
        <v>265.24</v>
      </c>
      <c r="E6">
        <f t="shared" si="0"/>
        <v>278.502</v>
      </c>
    </row>
    <row r="7" spans="1:5">
      <c r="A7" t="s">
        <v>247</v>
      </c>
      <c r="B7">
        <v>430</v>
      </c>
      <c r="D7">
        <v>405.29</v>
      </c>
      <c r="E7">
        <f t="shared" si="0"/>
        <v>425.5545</v>
      </c>
    </row>
    <row r="8" spans="1:2">
      <c r="A8" t="s">
        <v>248</v>
      </c>
      <c r="B8">
        <v>750</v>
      </c>
    </row>
    <row r="9" spans="1:2">
      <c r="A9" t="s">
        <v>249</v>
      </c>
      <c r="B9">
        <v>4000</v>
      </c>
    </row>
    <row r="10" spans="1:2">
      <c r="A10" t="s">
        <v>250</v>
      </c>
      <c r="B10">
        <v>3000</v>
      </c>
    </row>
    <row r="11" spans="1:2">
      <c r="A11" t="s">
        <v>251</v>
      </c>
      <c r="B11">
        <v>3000</v>
      </c>
    </row>
    <row r="12" spans="1:2">
      <c r="A12" t="s">
        <v>252</v>
      </c>
      <c r="B12">
        <v>200000</v>
      </c>
    </row>
    <row r="13" spans="1:2">
      <c r="A13" t="s">
        <v>253</v>
      </c>
      <c r="B13">
        <v>2500</v>
      </c>
    </row>
    <row r="14" spans="1:2">
      <c r="A14" t="s">
        <v>254</v>
      </c>
      <c r="B14">
        <v>500</v>
      </c>
    </row>
    <row r="15" spans="1:2">
      <c r="A15" t="s">
        <v>255</v>
      </c>
      <c r="B15">
        <v>880</v>
      </c>
    </row>
    <row r="16" spans="1:2">
      <c r="A16" t="s">
        <v>256</v>
      </c>
      <c r="B16">
        <v>2500</v>
      </c>
    </row>
    <row r="17" spans="1:2">
      <c r="A17" t="s">
        <v>257</v>
      </c>
      <c r="B17">
        <v>800</v>
      </c>
    </row>
    <row r="18" spans="1:2">
      <c r="A18" t="s">
        <v>258</v>
      </c>
      <c r="B18">
        <v>4500</v>
      </c>
    </row>
    <row r="19" spans="1:2">
      <c r="A19" t="s">
        <v>259</v>
      </c>
      <c r="B19">
        <v>800</v>
      </c>
    </row>
    <row r="20" spans="1:2">
      <c r="A20" t="s">
        <v>260</v>
      </c>
      <c r="B20">
        <v>2000</v>
      </c>
    </row>
    <row r="21" spans="1:2">
      <c r="A21" t="s">
        <v>261</v>
      </c>
      <c r="B21">
        <v>3000</v>
      </c>
    </row>
    <row r="22" spans="1:2">
      <c r="A22" t="s">
        <v>262</v>
      </c>
      <c r="B22">
        <v>50000</v>
      </c>
    </row>
    <row r="23" spans="1:2">
      <c r="A23" t="s">
        <v>263</v>
      </c>
      <c r="B23">
        <v>30000</v>
      </c>
    </row>
    <row r="24" spans="1:2">
      <c r="A24" t="s">
        <v>264</v>
      </c>
      <c r="B24">
        <v>1200</v>
      </c>
    </row>
    <row r="25" ht="14.25" spans="1:2">
      <c r="A25" s="74" t="s">
        <v>265</v>
      </c>
      <c r="B25">
        <v>3000</v>
      </c>
    </row>
    <row r="26" ht="14.25" spans="1:2">
      <c r="A26" s="74" t="s">
        <v>266</v>
      </c>
      <c r="B26" s="75">
        <v>1500000</v>
      </c>
    </row>
    <row r="27" spans="1:2">
      <c r="A27" t="s">
        <v>267</v>
      </c>
      <c r="B27">
        <f>8*2000</f>
        <v>16000</v>
      </c>
    </row>
    <row r="28" spans="1:2">
      <c r="A28" t="s">
        <v>268</v>
      </c>
      <c r="B28">
        <v>2500</v>
      </c>
    </row>
    <row r="29" spans="1:2">
      <c r="A29" t="s">
        <v>269</v>
      </c>
      <c r="B29">
        <v>600</v>
      </c>
    </row>
    <row r="30" spans="1:2">
      <c r="A30" t="s">
        <v>270</v>
      </c>
      <c r="B30">
        <v>60</v>
      </c>
    </row>
    <row r="31" spans="1:2">
      <c r="A31" t="s">
        <v>271</v>
      </c>
      <c r="B31" s="75">
        <v>10</v>
      </c>
    </row>
    <row r="32" spans="1:2">
      <c r="A32" t="s">
        <v>272</v>
      </c>
      <c r="B32">
        <v>30</v>
      </c>
    </row>
    <row r="33" spans="1:2">
      <c r="A33" t="s">
        <v>273</v>
      </c>
      <c r="B33">
        <v>5000</v>
      </c>
    </row>
    <row r="34" spans="1:2">
      <c r="A34" t="s">
        <v>274</v>
      </c>
      <c r="B34">
        <v>880</v>
      </c>
    </row>
    <row r="35" spans="1:2">
      <c r="A35" t="s">
        <v>275</v>
      </c>
      <c r="B35">
        <v>30</v>
      </c>
    </row>
  </sheetData>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
  <sheetViews>
    <sheetView workbookViewId="0">
      <selection activeCell="A44" sqref="A44"/>
    </sheetView>
  </sheetViews>
  <sheetFormatPr defaultColWidth="9" defaultRowHeight="13.5"/>
  <cols>
    <col min="2" max="2" width="26.5" customWidth="1"/>
    <col min="3" max="3" width="10.375"/>
    <col min="4" max="4" width="12.625"/>
    <col min="6" max="6" width="12.625"/>
  </cols>
  <sheetData>
    <row r="1" spans="9:11">
      <c r="I1" t="s">
        <v>276</v>
      </c>
      <c r="J1" t="s">
        <v>277</v>
      </c>
      <c r="K1" t="s">
        <v>278</v>
      </c>
    </row>
    <row r="2" spans="1:11">
      <c r="A2" t="s">
        <v>279</v>
      </c>
      <c r="B2" t="s">
        <v>280</v>
      </c>
      <c r="C2" s="71">
        <v>7973321.025</v>
      </c>
      <c r="D2">
        <f t="shared" ref="D2:D9" si="0">C2/10000</f>
        <v>797.3321025</v>
      </c>
      <c r="E2" s="72">
        <v>241320.54</v>
      </c>
      <c r="F2">
        <f>D2*10000/E2</f>
        <v>33.0403745367054</v>
      </c>
      <c r="H2" t="s">
        <v>281</v>
      </c>
      <c r="I2">
        <v>45176</v>
      </c>
      <c r="J2">
        <v>555648</v>
      </c>
      <c r="K2">
        <f>J2-SUM(I2:I5)</f>
        <v>340863</v>
      </c>
    </row>
    <row r="3" spans="2:9">
      <c r="B3" t="s">
        <v>278</v>
      </c>
      <c r="C3">
        <v>875124.525</v>
      </c>
      <c r="D3">
        <f t="shared" si="0"/>
        <v>87.5124525</v>
      </c>
      <c r="H3" t="s">
        <v>282</v>
      </c>
      <c r="I3">
        <v>99262</v>
      </c>
    </row>
    <row r="4" spans="8:9">
      <c r="H4" t="s">
        <v>283</v>
      </c>
      <c r="I4">
        <v>48188</v>
      </c>
    </row>
    <row r="5" spans="1:9">
      <c r="A5" t="s">
        <v>284</v>
      </c>
      <c r="B5" t="s">
        <v>285</v>
      </c>
      <c r="C5">
        <v>5696381.25</v>
      </c>
      <c r="D5">
        <f t="shared" si="0"/>
        <v>569.638125</v>
      </c>
      <c r="H5" t="s">
        <v>286</v>
      </c>
      <c r="I5">
        <v>22159</v>
      </c>
    </row>
    <row r="6" spans="2:4">
      <c r="B6" t="s">
        <v>287</v>
      </c>
      <c r="C6">
        <v>764709.75</v>
      </c>
      <c r="D6">
        <f t="shared" si="0"/>
        <v>76.470975</v>
      </c>
    </row>
    <row r="7" spans="2:4">
      <c r="B7" t="s">
        <v>288</v>
      </c>
      <c r="C7">
        <v>2211128.115</v>
      </c>
      <c r="D7">
        <f t="shared" si="0"/>
        <v>221.1128115</v>
      </c>
    </row>
    <row r="8" spans="2:4">
      <c r="B8" t="s">
        <v>289</v>
      </c>
      <c r="C8">
        <v>764709.75</v>
      </c>
      <c r="D8">
        <f t="shared" si="0"/>
        <v>76.470975</v>
      </c>
    </row>
    <row r="9" spans="2:4">
      <c r="B9" t="s">
        <v>290</v>
      </c>
      <c r="C9">
        <v>764709.75</v>
      </c>
      <c r="D9">
        <f t="shared" si="0"/>
        <v>76.470975</v>
      </c>
    </row>
    <row r="10" customFormat="1"/>
    <row r="11" spans="1:4">
      <c r="A11" t="s">
        <v>291</v>
      </c>
      <c r="B11" t="s">
        <v>292</v>
      </c>
      <c r="C11" s="73">
        <v>3359023.5</v>
      </c>
      <c r="D11">
        <f t="shared" ref="D11:D15" si="1">C11/10000</f>
        <v>335.90235</v>
      </c>
    </row>
    <row r="12" spans="3:4">
      <c r="C12">
        <v>701871.45</v>
      </c>
      <c r="D12">
        <f t="shared" si="1"/>
        <v>70.187145</v>
      </c>
    </row>
    <row r="13" spans="3:4">
      <c r="C13">
        <v>1379592.9</v>
      </c>
      <c r="D13">
        <f t="shared" si="1"/>
        <v>137.95929</v>
      </c>
    </row>
    <row r="14" spans="3:4">
      <c r="C14">
        <v>701871.45</v>
      </c>
      <c r="D14">
        <f t="shared" si="1"/>
        <v>70.187145</v>
      </c>
    </row>
    <row r="15" spans="3:4">
      <c r="C15">
        <v>701871.45</v>
      </c>
      <c r="D15">
        <f t="shared" si="1"/>
        <v>70.187145</v>
      </c>
    </row>
  </sheetData>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7"/>
  <sheetViews>
    <sheetView workbookViewId="0">
      <selection activeCell="A44" sqref="A44"/>
    </sheetView>
  </sheetViews>
  <sheetFormatPr defaultColWidth="9" defaultRowHeight="13.5" outlineLevelRow="6" outlineLevelCol="5"/>
  <cols>
    <col min="2" max="2" width="13.125" customWidth="1"/>
    <col min="3" max="3" width="24" customWidth="1"/>
    <col min="4" max="4" width="14.125"/>
    <col min="5" max="5" width="9.625"/>
  </cols>
  <sheetData>
    <row r="1" ht="14.25"/>
    <row r="2" ht="19.5" spans="2:6">
      <c r="B2" s="63" t="s">
        <v>2</v>
      </c>
      <c r="C2" s="64" t="s">
        <v>97</v>
      </c>
      <c r="D2" s="64" t="s">
        <v>98</v>
      </c>
      <c r="E2" s="64" t="s">
        <v>99</v>
      </c>
      <c r="F2" s="64" t="s">
        <v>9</v>
      </c>
    </row>
    <row r="3" ht="19.5" spans="2:6">
      <c r="B3" s="65">
        <v>1</v>
      </c>
      <c r="C3" s="66" t="s">
        <v>106</v>
      </c>
      <c r="D3" s="67">
        <f>总表!H12</f>
        <v>1859.403751</v>
      </c>
      <c r="E3" s="68">
        <f>D3/$D$7</f>
        <v>0.781556610868822</v>
      </c>
      <c r="F3" s="66"/>
    </row>
    <row r="4" ht="19.5" spans="2:6">
      <c r="B4" s="65">
        <v>2</v>
      </c>
      <c r="C4" s="66" t="s">
        <v>109</v>
      </c>
      <c r="D4" s="67">
        <f>总表!H37</f>
        <v>343.465308120932</v>
      </c>
      <c r="E4" s="68">
        <f>D4/$D$7</f>
        <v>0.144367559773741</v>
      </c>
      <c r="F4" s="66"/>
    </row>
    <row r="5" ht="19.5" spans="2:6">
      <c r="B5" s="65">
        <v>3</v>
      </c>
      <c r="C5" s="66" t="s">
        <v>112</v>
      </c>
      <c r="D5" s="67">
        <f>总表!H39</f>
        <v>176.229858809763</v>
      </c>
      <c r="E5" s="68">
        <f>D5/$D$7</f>
        <v>0.0740740740741086</v>
      </c>
      <c r="F5" s="66"/>
    </row>
    <row r="6" ht="19.5" spans="2:6">
      <c r="B6" s="65">
        <v>4</v>
      </c>
      <c r="C6" s="66" t="s">
        <v>293</v>
      </c>
      <c r="D6" s="67" t="e">
        <f>总表!#REF!</f>
        <v>#REF!</v>
      </c>
      <c r="E6" s="68" t="e">
        <f>D6/$D$7</f>
        <v>#REF!</v>
      </c>
      <c r="F6" s="66"/>
    </row>
    <row r="7" ht="19.5" spans="2:6">
      <c r="B7" s="65">
        <v>5</v>
      </c>
      <c r="C7" s="66" t="s">
        <v>115</v>
      </c>
      <c r="D7" s="69">
        <f>总表!H44</f>
        <v>2379.10309393069</v>
      </c>
      <c r="E7" s="68">
        <v>1</v>
      </c>
      <c r="F7" s="70"/>
    </row>
  </sheetData>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workbookViewId="0">
      <selection activeCell="A44" sqref="A44"/>
    </sheetView>
  </sheetViews>
  <sheetFormatPr defaultColWidth="8.75833333333333" defaultRowHeight="14.25" outlineLevelCol="7"/>
  <cols>
    <col min="1" max="1" width="8.75833333333333" style="40"/>
    <col min="2" max="2" width="18.125" style="40" customWidth="1"/>
    <col min="3" max="3" width="11.875" style="40" customWidth="1"/>
    <col min="4" max="4" width="8.75833333333333" style="40"/>
    <col min="5" max="6" width="11.875" style="40" customWidth="1"/>
    <col min="7" max="7" width="11.125" style="40" customWidth="1"/>
    <col min="8" max="8" width="12.625" style="40"/>
    <col min="9" max="16384" width="8.75833333333333" style="40"/>
  </cols>
  <sheetData>
    <row r="1" s="40" customFormat="1" ht="18.75" spans="1:6">
      <c r="A1" s="41" t="s">
        <v>294</v>
      </c>
      <c r="B1" s="42"/>
      <c r="C1" s="42"/>
      <c r="D1" s="42"/>
      <c r="E1" s="42"/>
      <c r="F1" s="42"/>
    </row>
    <row r="2" s="40" customFormat="1" spans="1:6">
      <c r="A2" s="43" t="s">
        <v>2</v>
      </c>
      <c r="B2" s="44" t="s">
        <v>295</v>
      </c>
      <c r="C2" s="45" t="s">
        <v>296</v>
      </c>
      <c r="D2" s="45" t="s">
        <v>297</v>
      </c>
      <c r="E2" s="43" t="s">
        <v>298</v>
      </c>
      <c r="F2" s="46"/>
    </row>
    <row r="3" s="40" customFormat="1" spans="1:6">
      <c r="A3" s="43"/>
      <c r="B3" s="47" t="s">
        <v>97</v>
      </c>
      <c r="C3" s="48" t="s">
        <v>299</v>
      </c>
      <c r="D3" s="48" t="s">
        <v>300</v>
      </c>
      <c r="E3" s="48" t="s">
        <v>301</v>
      </c>
      <c r="F3" s="49" t="s">
        <v>302</v>
      </c>
    </row>
    <row r="4" s="40" customFormat="1" spans="1:7">
      <c r="A4" s="50"/>
      <c r="B4" s="51" t="s">
        <v>303</v>
      </c>
      <c r="C4" s="48"/>
      <c r="D4" s="48"/>
      <c r="E4" s="52">
        <v>0.5</v>
      </c>
      <c r="F4" s="52">
        <v>0.5</v>
      </c>
      <c r="G4" s="53"/>
    </row>
    <row r="5" s="40" customFormat="1" spans="1:7">
      <c r="A5" s="43"/>
      <c r="B5" s="47" t="s">
        <v>304</v>
      </c>
      <c r="C5" s="54">
        <f>总表!H42*0.8</f>
        <v>1903.28247514455</v>
      </c>
      <c r="D5" s="48"/>
      <c r="E5" s="54">
        <f>7000+SUM(C5,C6)*0.1</f>
        <v>7214.11927845376</v>
      </c>
      <c r="F5" s="54">
        <f>(C5-7000)</f>
        <v>-5096.71752485545</v>
      </c>
      <c r="G5" s="54">
        <f>$C$5*G4</f>
        <v>0</v>
      </c>
    </row>
    <row r="6" s="40" customFormat="1" spans="1:7">
      <c r="A6" s="43"/>
      <c r="B6" s="47" t="s">
        <v>305</v>
      </c>
      <c r="C6" s="54">
        <f>总表!H42*0.1</f>
        <v>237.910309393069</v>
      </c>
      <c r="D6" s="48"/>
      <c r="E6" s="54">
        <f>+C6</f>
        <v>237.910309393069</v>
      </c>
      <c r="F6" s="54">
        <f>ROUND($C$5*42%*F7,0)</f>
        <v>0</v>
      </c>
      <c r="G6" s="54">
        <f>ROUND($C$5*42%*G7,0)</f>
        <v>0</v>
      </c>
    </row>
    <row r="7" s="40" customFormat="1" spans="1:7">
      <c r="A7" s="43"/>
      <c r="B7" s="47" t="s">
        <v>306</v>
      </c>
      <c r="C7" s="48"/>
      <c r="D7" s="48"/>
      <c r="E7" s="52">
        <v>1</v>
      </c>
      <c r="F7" s="55">
        <v>0</v>
      </c>
      <c r="G7" s="52">
        <v>0</v>
      </c>
    </row>
    <row r="8" s="40" customFormat="1" spans="1:8">
      <c r="A8" s="43"/>
      <c r="B8" s="47"/>
      <c r="C8" s="48"/>
      <c r="D8" s="48"/>
      <c r="E8" s="52"/>
      <c r="F8" s="55"/>
      <c r="H8" s="56"/>
    </row>
    <row r="9" s="40" customFormat="1" spans="1:7">
      <c r="A9" s="57">
        <v>1</v>
      </c>
      <c r="B9" s="58" t="s">
        <v>307</v>
      </c>
      <c r="C9" s="59"/>
      <c r="D9" s="59"/>
      <c r="E9" s="48"/>
      <c r="F9" s="54">
        <f>7000+E11</f>
        <v>7171.5</v>
      </c>
      <c r="G9" s="54"/>
    </row>
    <row r="10" s="40" customFormat="1" spans="1:7">
      <c r="A10" s="57">
        <v>2</v>
      </c>
      <c r="B10" s="58" t="s">
        <v>308</v>
      </c>
      <c r="C10" s="54">
        <f t="shared" ref="C10:C12" si="0">SUM(E10:F10)</f>
        <v>2117.40175359831</v>
      </c>
      <c r="D10" s="60">
        <v>0.049</v>
      </c>
      <c r="E10" s="54">
        <f>+E5</f>
        <v>7214.11927845376</v>
      </c>
      <c r="F10" s="54">
        <f>+F5</f>
        <v>-5096.71752485545</v>
      </c>
      <c r="G10" s="54">
        <f>+G5</f>
        <v>0</v>
      </c>
    </row>
    <row r="11" s="40" customFormat="1" spans="1:7">
      <c r="A11" s="57">
        <v>3</v>
      </c>
      <c r="B11" s="58" t="s">
        <v>309</v>
      </c>
      <c r="C11" s="54">
        <f t="shared" si="0"/>
        <v>398.033920641042</v>
      </c>
      <c r="D11" s="59"/>
      <c r="E11" s="54">
        <f>7000*0.5*$D$10</f>
        <v>171.5</v>
      </c>
      <c r="F11" s="54">
        <f>(F9+F10*0.5)*$D$10</f>
        <v>226.533920641042</v>
      </c>
      <c r="G11" s="54">
        <f>(G9+G10*0.5)*$D$10</f>
        <v>0</v>
      </c>
    </row>
    <row r="12" s="40" customFormat="1" spans="1:7">
      <c r="A12" s="57">
        <v>4</v>
      </c>
      <c r="B12" s="58" t="s">
        <v>310</v>
      </c>
      <c r="C12" s="54">
        <f t="shared" si="0"/>
        <v>7.70829402433544</v>
      </c>
      <c r="D12" s="59"/>
      <c r="E12" s="54"/>
      <c r="F12" s="54">
        <f>((C5+C6)*0.1+(E12)*0.5)*3.6%</f>
        <v>7.70829402433544</v>
      </c>
      <c r="G12" s="62"/>
    </row>
    <row r="13" s="40" customFormat="1" ht="15.75" spans="1:6">
      <c r="A13" s="57"/>
      <c r="B13" s="61"/>
      <c r="C13" s="59"/>
      <c r="D13" s="59"/>
      <c r="E13" s="59"/>
      <c r="F13" s="59"/>
    </row>
    <row r="15" spans="5:8">
      <c r="E15" s="40">
        <f>SUM(C5,C6)*0.1*0.5/E5</f>
        <v>0.0148402923620397</v>
      </c>
      <c r="F15" s="40">
        <f>F10*(1+3.6%)^2*0.11-F10*0.11</f>
        <v>-41.0925908471985</v>
      </c>
      <c r="H15" s="40">
        <f>SUM(C5,C6)*0.1*3.6%</f>
        <v>7.70829402433544</v>
      </c>
    </row>
    <row r="16" spans="5:5">
      <c r="E16" s="40">
        <f>SUM(C5:C6)*0.8/C5</f>
        <v>0.9</v>
      </c>
    </row>
    <row r="18" s="40" customFormat="1" ht="18" hidden="1" customHeight="1"/>
    <row r="19" s="40" customFormat="1" ht="18" hidden="1" customHeight="1"/>
    <row r="20" s="40" customFormat="1" ht="18" hidden="1" customHeight="1"/>
    <row r="21" s="40" customFormat="1" ht="18" hidden="1" customHeight="1"/>
    <row r="22" s="40" customFormat="1" ht="18" hidden="1" customHeight="1"/>
    <row r="23" s="40" customFormat="1" ht="18" hidden="1" customHeight="1"/>
    <row r="24" s="40" customFormat="1" ht="18" hidden="1" customHeight="1"/>
    <row r="25" s="40" customFormat="1" ht="18" hidden="1" customHeight="1"/>
    <row r="26" s="40" customFormat="1" ht="18" hidden="1" customHeight="1"/>
    <row r="27" s="40" customFormat="1" ht="18" customHeight="1"/>
    <row r="28" s="40" customFormat="1" ht="18" customHeight="1"/>
    <row r="29" s="40" customFormat="1" ht="18" customHeight="1"/>
    <row r="30" s="40" customFormat="1" ht="18" customHeight="1"/>
    <row r="31" s="40" customFormat="1" ht="18" customHeight="1"/>
    <row r="32" s="40" customFormat="1" ht="18" customHeight="1"/>
    <row r="33" s="40" customFormat="1" ht="18" customHeight="1"/>
    <row r="34" s="40" customFormat="1" ht="18" customHeight="1"/>
    <row r="35" s="40" customFormat="1" ht="18" customHeight="1"/>
    <row r="36" s="40" customFormat="1" ht="18" customHeight="1"/>
    <row r="37" s="40" customFormat="1" ht="18" customHeight="1"/>
    <row r="38" s="40" customFormat="1" ht="18" customHeight="1"/>
    <row r="39" s="40" customFormat="1" ht="18" customHeight="1"/>
    <row r="40" s="40" customFormat="1" ht="18" customHeight="1"/>
    <row r="41" s="40" customFormat="1" ht="18" customHeight="1"/>
    <row r="42" s="40" customFormat="1" ht="18" customHeight="1"/>
    <row r="43" s="40" customFormat="1" ht="18" customHeight="1"/>
    <row r="44" s="40" customFormat="1" ht="18" customHeight="1"/>
    <row r="45" s="40" customFormat="1" ht="18" customHeight="1"/>
    <row r="46" s="40" customFormat="1" ht="18" customHeight="1"/>
    <row r="47" s="40" customFormat="1" ht="18" customHeight="1"/>
    <row r="48" s="40" customFormat="1" ht="18" customHeight="1"/>
    <row r="49" s="40" customFormat="1" ht="18" customHeight="1"/>
    <row r="50" s="40" customFormat="1" ht="18" customHeight="1"/>
    <row r="51" s="40" customFormat="1" ht="18" customHeight="1"/>
    <row r="52" s="40" customFormat="1" ht="18" customHeight="1"/>
    <row r="53" s="40" customFormat="1" ht="18" customHeight="1"/>
    <row r="54" s="40" customFormat="1" ht="18" customHeight="1"/>
    <row r="55" s="40" customFormat="1" ht="18" customHeight="1"/>
    <row r="56" s="40" customFormat="1" ht="18" customHeight="1"/>
    <row r="57" s="40" customFormat="1" ht="18" customHeight="1"/>
    <row r="58" s="40" customFormat="1" ht="18" customHeight="1"/>
    <row r="59" s="40" customFormat="1" ht="18" customHeight="1"/>
    <row r="60" s="40" customFormat="1" ht="18" customHeight="1"/>
    <row r="61" s="40" customFormat="1" ht="18" customHeight="1"/>
    <row r="62" s="40" customFormat="1" ht="18" customHeight="1"/>
    <row r="63" s="40" customFormat="1" ht="18" customHeight="1"/>
    <row r="64" s="40" customFormat="1" ht="18" customHeight="1"/>
    <row r="65" s="40" customFormat="1" ht="18" customHeight="1"/>
    <row r="66" s="40" customFormat="1" ht="18" customHeight="1"/>
    <row r="67" s="40" customFormat="1" ht="18" customHeight="1"/>
    <row r="68" s="40" customFormat="1" ht="18" customHeight="1"/>
    <row r="69" s="40" customFormat="1" ht="18" customHeight="1"/>
    <row r="70" s="40" customFormat="1" ht="18" customHeight="1"/>
    <row r="71" s="40" customFormat="1" ht="18" customHeight="1"/>
    <row r="72" s="40" customFormat="1" ht="18" customHeight="1"/>
    <row r="73" s="40" customFormat="1" ht="18" customHeight="1"/>
    <row r="74" s="40" customFormat="1" ht="18" customHeight="1"/>
    <row r="75" s="40" customFormat="1" ht="18" customHeight="1"/>
    <row r="76" s="40" customFormat="1" ht="18" customHeight="1"/>
    <row r="77" s="40" customFormat="1" ht="18" customHeight="1"/>
    <row r="78" s="40" customFormat="1" ht="18" customHeight="1"/>
    <row r="79" s="40" customFormat="1" ht="18" customHeight="1"/>
    <row r="80" s="40" customFormat="1" ht="18" customHeight="1"/>
    <row r="81" s="40" customFormat="1" ht="18" customHeight="1"/>
    <row r="82" s="40" customFormat="1" ht="18" customHeight="1"/>
    <row r="83" s="40" customFormat="1" ht="18" customHeight="1"/>
    <row r="84" s="40" customFormat="1" ht="18" customHeight="1"/>
    <row r="85" s="40" customFormat="1" ht="18" customHeight="1"/>
    <row r="86" s="40" customFormat="1" ht="18" customHeight="1"/>
    <row r="87" s="40" customFormat="1" ht="18" customHeight="1"/>
    <row r="88" s="40" customFormat="1" ht="18" customHeight="1"/>
    <row r="89" s="40" customFormat="1" ht="18" customHeight="1"/>
    <row r="90" s="40" customFormat="1" ht="18" customHeight="1"/>
    <row r="91" s="40" customFormat="1" ht="18" customHeight="1"/>
    <row r="92" s="40" customFormat="1" ht="18" customHeight="1"/>
    <row r="93" s="40" customFormat="1" ht="18" customHeight="1"/>
  </sheetData>
  <mergeCells count="2">
    <mergeCell ref="E2:F2"/>
    <mergeCell ref="A2:A3"/>
  </mergeCells>
  <pageMargins left="0.75" right="0.75" top="1" bottom="1" header="0.5" footer="0.5"/>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2"/>
  <sheetViews>
    <sheetView zoomScale="145" zoomScaleNormal="145" workbookViewId="0">
      <selection activeCell="A44" sqref="A44"/>
    </sheetView>
  </sheetViews>
  <sheetFormatPr defaultColWidth="8.75833333333333" defaultRowHeight="14.25" outlineLevelCol="7"/>
  <cols>
    <col min="1" max="1" width="8.75833333333333" style="40"/>
    <col min="2" max="2" width="18.125" style="40" customWidth="1"/>
    <col min="3" max="3" width="11.875" style="40" customWidth="1"/>
    <col min="4" max="4" width="8.75833333333333" style="40"/>
    <col min="5" max="6" width="11.875" style="40" customWidth="1"/>
    <col min="7" max="7" width="11.125" style="40" customWidth="1"/>
    <col min="8" max="16384" width="8.75833333333333" style="40"/>
  </cols>
  <sheetData>
    <row r="1" s="40" customFormat="1" ht="18.75" spans="1:6">
      <c r="A1" s="41" t="s">
        <v>294</v>
      </c>
      <c r="B1" s="42"/>
      <c r="C1" s="42"/>
      <c r="D1" s="42"/>
      <c r="E1" s="42"/>
      <c r="F1" s="42"/>
    </row>
    <row r="2" s="40" customFormat="1" spans="1:6">
      <c r="A2" s="43" t="s">
        <v>2</v>
      </c>
      <c r="B2" s="44" t="s">
        <v>295</v>
      </c>
      <c r="C2" s="45" t="s">
        <v>296</v>
      </c>
      <c r="D2" s="45" t="s">
        <v>297</v>
      </c>
      <c r="E2" s="43" t="s">
        <v>298</v>
      </c>
      <c r="F2" s="46"/>
    </row>
    <row r="3" s="40" customFormat="1" spans="1:6">
      <c r="A3" s="43"/>
      <c r="B3" s="47" t="s">
        <v>97</v>
      </c>
      <c r="C3" s="48" t="s">
        <v>299</v>
      </c>
      <c r="D3" s="48" t="s">
        <v>300</v>
      </c>
      <c r="E3" s="48" t="s">
        <v>301</v>
      </c>
      <c r="F3" s="49" t="s">
        <v>302</v>
      </c>
    </row>
    <row r="4" s="40" customFormat="1" spans="1:7">
      <c r="A4" s="50"/>
      <c r="B4" s="51" t="s">
        <v>303</v>
      </c>
      <c r="C4" s="48"/>
      <c r="D4" s="48"/>
      <c r="E4" s="52">
        <v>0.5</v>
      </c>
      <c r="F4" s="52">
        <v>0.5</v>
      </c>
      <c r="G4" s="53"/>
    </row>
    <row r="5" s="40" customFormat="1" spans="1:7">
      <c r="A5" s="43"/>
      <c r="B5" s="47" t="s">
        <v>304</v>
      </c>
      <c r="C5" s="54">
        <f>总表!H42*0.8</f>
        <v>1903.28247514455</v>
      </c>
      <c r="D5" s="48"/>
      <c r="E5" s="54">
        <f>$C$5*E4</f>
        <v>951.641237572276</v>
      </c>
      <c r="F5" s="54">
        <f>$C$5*F4</f>
        <v>951.641237572276</v>
      </c>
      <c r="G5" s="54">
        <f>$C$5*G4</f>
        <v>0</v>
      </c>
    </row>
    <row r="6" s="40" customFormat="1" spans="1:7">
      <c r="A6" s="43"/>
      <c r="B6" s="47" t="s">
        <v>311</v>
      </c>
      <c r="C6" s="54">
        <f>总表!H42*0.2</f>
        <v>475.820618786138</v>
      </c>
      <c r="D6" s="48"/>
      <c r="E6" s="54">
        <f>+C6</f>
        <v>475.820618786138</v>
      </c>
      <c r="F6" s="54">
        <f>ROUND($C$5*42%*F7,0)</f>
        <v>0</v>
      </c>
      <c r="G6" s="54">
        <f>ROUND($C$5*42%*G7,0)</f>
        <v>0</v>
      </c>
    </row>
    <row r="7" s="40" customFormat="1" spans="1:7">
      <c r="A7" s="43"/>
      <c r="B7" s="47" t="s">
        <v>306</v>
      </c>
      <c r="C7" s="48"/>
      <c r="D7" s="48"/>
      <c r="E7" s="52">
        <v>1</v>
      </c>
      <c r="F7" s="55">
        <v>0</v>
      </c>
      <c r="G7" s="52">
        <v>0</v>
      </c>
    </row>
    <row r="8" s="40" customFormat="1" spans="1:8">
      <c r="A8" s="43"/>
      <c r="B8" s="47"/>
      <c r="C8" s="48"/>
      <c r="D8" s="48"/>
      <c r="E8" s="52"/>
      <c r="F8" s="55"/>
      <c r="H8" s="56"/>
    </row>
    <row r="9" s="40" customFormat="1" spans="1:7">
      <c r="A9" s="57">
        <v>1</v>
      </c>
      <c r="B9" s="58" t="s">
        <v>307</v>
      </c>
      <c r="C9" s="59"/>
      <c r="D9" s="59"/>
      <c r="E9" s="48"/>
      <c r="F9" s="54">
        <f>+E9+E10</f>
        <v>951.641237572276</v>
      </c>
      <c r="G9" s="54"/>
    </row>
    <row r="10" s="40" customFormat="1" spans="1:7">
      <c r="A10" s="57">
        <v>2</v>
      </c>
      <c r="B10" s="58" t="s">
        <v>308</v>
      </c>
      <c r="C10" s="54">
        <f>SUM(E10:F10)</f>
        <v>1903.28247514455</v>
      </c>
      <c r="D10" s="60">
        <v>0.0395</v>
      </c>
      <c r="E10" s="54">
        <f>+E5</f>
        <v>951.641237572276</v>
      </c>
      <c r="F10" s="54">
        <f t="shared" ref="E10:G10" si="0">+F5</f>
        <v>951.641237572276</v>
      </c>
      <c r="G10" s="54">
        <f t="shared" si="0"/>
        <v>0</v>
      </c>
    </row>
    <row r="11" s="40" customFormat="1" spans="1:7">
      <c r="A11" s="57">
        <v>3</v>
      </c>
      <c r="B11" s="58" t="s">
        <v>309</v>
      </c>
      <c r="C11" s="54">
        <f>SUM(E11:F11)</f>
        <v>75.1796577682098</v>
      </c>
      <c r="D11" s="59"/>
      <c r="E11" s="54">
        <f>E10*0.5*$D$10</f>
        <v>18.7949144420525</v>
      </c>
      <c r="F11" s="54">
        <f>(F9+F10*0.5)*$D$10</f>
        <v>56.3847433261574</v>
      </c>
      <c r="G11" s="54">
        <f>(G9+G10*0.5)*$D$10</f>
        <v>0</v>
      </c>
    </row>
    <row r="12" s="40" customFormat="1" ht="15.75" spans="1:6">
      <c r="A12" s="57"/>
      <c r="B12" s="61"/>
      <c r="C12" s="59"/>
      <c r="D12" s="59"/>
      <c r="E12" s="59"/>
      <c r="F12" s="59"/>
    </row>
    <row r="14" s="40" customFormat="1" spans="5:5">
      <c r="E14" s="40">
        <f>SUM(C5,C6)*0.1*0.5/E5</f>
        <v>0.125</v>
      </c>
    </row>
    <row r="17" s="40" customFormat="1" ht="18" hidden="1" customHeight="1"/>
    <row r="18" s="40" customFormat="1" ht="18" hidden="1" customHeight="1"/>
    <row r="19" s="40" customFormat="1" ht="18" hidden="1" customHeight="1"/>
    <row r="20" s="40" customFormat="1" ht="18" hidden="1" customHeight="1"/>
    <row r="21" s="40" customFormat="1" ht="18" hidden="1" customHeight="1"/>
    <row r="22" s="40" customFormat="1" ht="18" hidden="1" customHeight="1"/>
    <row r="23" s="40" customFormat="1" ht="18" hidden="1" customHeight="1"/>
    <row r="24" s="40" customFormat="1" ht="18" hidden="1" customHeight="1"/>
    <row r="25" s="40" customFormat="1" ht="18" hidden="1" customHeight="1"/>
    <row r="26" s="40" customFormat="1" ht="18" customHeight="1"/>
    <row r="27" s="40" customFormat="1" ht="18" customHeight="1"/>
    <row r="28" s="40" customFormat="1" ht="18" customHeight="1"/>
    <row r="29" s="40" customFormat="1" ht="18" customHeight="1"/>
    <row r="30" s="40" customFormat="1" ht="18" customHeight="1"/>
    <row r="31" s="40" customFormat="1" ht="18" customHeight="1"/>
    <row r="32" s="40" customFormat="1" ht="18" customHeight="1"/>
    <row r="33" s="40" customFormat="1" ht="18" customHeight="1"/>
    <row r="34" s="40" customFormat="1" ht="18" customHeight="1"/>
    <row r="35" s="40" customFormat="1" ht="18" customHeight="1"/>
    <row r="36" s="40" customFormat="1" ht="18" customHeight="1"/>
    <row r="37" s="40" customFormat="1" ht="18" customHeight="1"/>
    <row r="38" s="40" customFormat="1" ht="18" customHeight="1"/>
    <row r="39" s="40" customFormat="1" ht="18" customHeight="1"/>
    <row r="40" s="40" customFormat="1" ht="18" customHeight="1"/>
    <row r="41" s="40" customFormat="1" ht="18" customHeight="1"/>
    <row r="42" s="40" customFormat="1" ht="18" customHeight="1"/>
    <row r="43" s="40" customFormat="1" ht="18" customHeight="1"/>
    <row r="44" s="40" customFormat="1" ht="18" customHeight="1"/>
    <row r="45" s="40" customFormat="1" ht="18" customHeight="1"/>
    <row r="46" s="40" customFormat="1" ht="18" customHeight="1"/>
    <row r="47" s="40" customFormat="1" ht="18" customHeight="1"/>
    <row r="48" s="40" customFormat="1" ht="18" customHeight="1"/>
    <row r="49" s="40" customFormat="1" ht="18" customHeight="1"/>
    <row r="50" s="40" customFormat="1" ht="18" customHeight="1"/>
    <row r="51" s="40" customFormat="1" ht="18" customHeight="1"/>
    <row r="52" s="40" customFormat="1" ht="18" customHeight="1"/>
    <row r="53" s="40" customFormat="1" ht="18" customHeight="1"/>
    <row r="54" s="40" customFormat="1" ht="18" customHeight="1"/>
    <row r="55" s="40" customFormat="1" ht="18" customHeight="1"/>
    <row r="56" s="40" customFormat="1" ht="18" customHeight="1"/>
    <row r="57" s="40" customFormat="1" ht="18" customHeight="1"/>
    <row r="58" s="40" customFormat="1" ht="18" customHeight="1"/>
    <row r="59" s="40" customFormat="1" ht="18" customHeight="1"/>
    <row r="60" s="40" customFormat="1" ht="18" customHeight="1"/>
    <row r="61" s="40" customFormat="1" ht="18" customHeight="1"/>
    <row r="62" s="40" customFormat="1" ht="18" customHeight="1"/>
    <row r="63" s="40" customFormat="1" ht="18" customHeight="1"/>
    <row r="64" s="40" customFormat="1" ht="18" customHeight="1"/>
    <row r="65" s="40" customFormat="1" ht="18" customHeight="1"/>
    <row r="66" s="40" customFormat="1" ht="18" customHeight="1"/>
    <row r="67" s="40" customFormat="1" ht="18" customHeight="1"/>
    <row r="68" s="40" customFormat="1" ht="18" customHeight="1"/>
    <row r="69" s="40" customFormat="1" ht="18" customHeight="1"/>
    <row r="70" s="40" customFormat="1" ht="18" customHeight="1"/>
    <row r="71" s="40" customFormat="1" ht="18" customHeight="1"/>
    <row r="72" s="40" customFormat="1" ht="18" customHeight="1"/>
    <row r="73" s="40" customFormat="1" ht="18" customHeight="1"/>
    <row r="74" s="40" customFormat="1" ht="18" customHeight="1"/>
    <row r="75" s="40" customFormat="1" ht="18" customHeight="1"/>
    <row r="76" s="40" customFormat="1" ht="18" customHeight="1"/>
    <row r="77" s="40" customFormat="1" ht="18" customHeight="1"/>
    <row r="78" s="40" customFormat="1" ht="18" customHeight="1"/>
    <row r="79" s="40" customFormat="1" ht="18" customHeight="1"/>
    <row r="80" s="40" customFormat="1" ht="18" customHeight="1"/>
    <row r="81" s="40" customFormat="1" ht="18" customHeight="1"/>
    <row r="82" s="40" customFormat="1" ht="18" customHeight="1"/>
    <row r="83" s="40" customFormat="1" ht="18" customHeight="1"/>
    <row r="84" s="40" customFormat="1" ht="18" customHeight="1"/>
    <row r="85" s="40" customFormat="1" ht="18" customHeight="1"/>
    <row r="86" s="40" customFormat="1" ht="18" customHeight="1"/>
    <row r="87" s="40" customFormat="1" ht="18" customHeight="1"/>
    <row r="88" s="40" customFormat="1" ht="18" customHeight="1"/>
    <row r="89" s="40" customFormat="1" ht="18" customHeight="1"/>
    <row r="90" s="40" customFormat="1" ht="18" customHeight="1"/>
    <row r="91" s="40" customFormat="1" ht="18" customHeight="1"/>
    <row r="92" s="40" customFormat="1" ht="18" customHeight="1"/>
  </sheetData>
  <mergeCells count="2">
    <mergeCell ref="E2:F2"/>
    <mergeCell ref="A2:A3"/>
  </mergeCells>
  <pageMargins left="0.75" right="0.75" top="1" bottom="1" header="0.5" footer="0.5"/>
  <pageSetup paperSize="9" orientation="portrait"/>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A44" sqref="A44"/>
    </sheetView>
  </sheetViews>
  <sheetFormatPr defaultColWidth="9" defaultRowHeight="14.25"/>
  <cols>
    <col min="1" max="1" width="9" style="1"/>
    <col min="2" max="2" width="20" style="1" customWidth="1"/>
    <col min="3" max="3" width="17.0833333333333" style="1" customWidth="1"/>
    <col min="4" max="4" width="11.5" style="1"/>
    <col min="5" max="5" width="11.625" style="1"/>
    <col min="6" max="6" width="14.4166666666667" style="1" customWidth="1"/>
    <col min="7" max="7" width="9" style="1"/>
    <col min="8" max="8" width="9.41666666666667" style="1"/>
    <col min="9" max="9" width="12.6666666666667" style="3"/>
    <col min="10" max="10" width="12.6666666666667" style="1"/>
    <col min="11" max="16384" width="9" style="1"/>
  </cols>
  <sheetData>
    <row r="1" s="1" customFormat="1" spans="1:9">
      <c r="A1" s="4"/>
      <c r="B1" s="4"/>
      <c r="C1" s="4"/>
      <c r="D1" s="4"/>
      <c r="E1" s="4"/>
      <c r="F1" s="5"/>
      <c r="G1" s="6"/>
      <c r="H1" s="7"/>
      <c r="I1" s="5"/>
    </row>
    <row r="2" s="1" customFormat="1" ht="20.25" spans="1:9">
      <c r="A2" s="8" t="s">
        <v>312</v>
      </c>
      <c r="B2" s="8"/>
      <c r="C2" s="8"/>
      <c r="D2" s="9"/>
      <c r="E2" s="9"/>
      <c r="F2" s="10"/>
      <c r="G2" s="11"/>
      <c r="H2" s="12"/>
      <c r="I2" s="10"/>
    </row>
    <row r="3" s="1" customFormat="1" ht="20.25" spans="1:9">
      <c r="A3" s="13" t="s">
        <v>313</v>
      </c>
      <c r="B3" s="8"/>
      <c r="C3" s="8"/>
      <c r="D3" s="9"/>
      <c r="E3" s="9"/>
      <c r="F3" s="10"/>
      <c r="G3" s="11"/>
      <c r="H3" s="12"/>
      <c r="I3" s="10"/>
    </row>
    <row r="4" s="1" customFormat="1" spans="1:9">
      <c r="A4" s="14" t="s">
        <v>2</v>
      </c>
      <c r="B4" s="15" t="s">
        <v>97</v>
      </c>
      <c r="C4" s="16" t="s">
        <v>21</v>
      </c>
      <c r="D4" s="17" t="s">
        <v>298</v>
      </c>
      <c r="E4" s="17"/>
      <c r="F4" s="17" t="s">
        <v>9</v>
      </c>
      <c r="G4" s="18"/>
      <c r="H4" s="12"/>
      <c r="I4" s="10"/>
    </row>
    <row r="5" s="1" customFormat="1" spans="1:9">
      <c r="A5" s="19"/>
      <c r="B5" s="20"/>
      <c r="C5" s="21"/>
      <c r="D5" s="17">
        <v>1</v>
      </c>
      <c r="E5" s="17">
        <v>2</v>
      </c>
      <c r="F5" s="17"/>
      <c r="G5" s="18"/>
      <c r="H5" s="12"/>
      <c r="I5" s="10"/>
    </row>
    <row r="6" s="1" customFormat="1" spans="1:9">
      <c r="A6" s="22">
        <v>1</v>
      </c>
      <c r="B6" s="22" t="s">
        <v>115</v>
      </c>
      <c r="C6" s="17">
        <f>C7+C8+C9</f>
        <v>2379.10309393069</v>
      </c>
      <c r="D6" s="17">
        <f>D10</f>
        <v>7475.82061878614</v>
      </c>
      <c r="E6" s="17">
        <f>E10</f>
        <v>-5096.71752485545</v>
      </c>
      <c r="F6" s="17"/>
      <c r="G6" s="17"/>
      <c r="H6" s="23"/>
      <c r="I6" s="5"/>
    </row>
    <row r="7" s="1" customFormat="1" spans="1:9">
      <c r="A7" s="24">
        <v>1.1</v>
      </c>
      <c r="B7" s="24" t="s">
        <v>314</v>
      </c>
      <c r="C7" s="25">
        <f t="shared" ref="C7:C9" si="0">D7+E7</f>
        <v>1976.62551658242</v>
      </c>
      <c r="D7" s="17">
        <f>D6-D8-D9</f>
        <v>7300.03823321706</v>
      </c>
      <c r="E7" s="17">
        <f>E6-E8-E9</f>
        <v>-5323.41271663464</v>
      </c>
      <c r="F7" s="26"/>
      <c r="G7" s="26"/>
      <c r="H7" s="23" t="s">
        <v>315</v>
      </c>
      <c r="I7" s="5"/>
    </row>
    <row r="8" s="1" customFormat="1" spans="1:9">
      <c r="A8" s="24">
        <v>1.2</v>
      </c>
      <c r="B8" s="24" t="s">
        <v>316</v>
      </c>
      <c r="C8" s="25">
        <f t="shared" si="0"/>
        <v>12.8471567072257</v>
      </c>
      <c r="D8" s="17">
        <f>(0+D13)/2*$C$17</f>
        <v>4.28238556907524</v>
      </c>
      <c r="E8" s="17">
        <f>(D13+C13)/2*$C$17</f>
        <v>8.56477113815049</v>
      </c>
      <c r="F8" s="26"/>
      <c r="G8" s="17"/>
      <c r="H8" s="23">
        <f>C8+C9</f>
        <v>402.477577348267</v>
      </c>
      <c r="I8" s="5"/>
    </row>
    <row r="9" s="1" customFormat="1" spans="1:9">
      <c r="A9" s="24">
        <v>1.3</v>
      </c>
      <c r="B9" s="24" t="s">
        <v>317</v>
      </c>
      <c r="C9" s="25">
        <f t="shared" si="0"/>
        <v>389.630420641041</v>
      </c>
      <c r="D9" s="17">
        <f>(0+D14)/2*$C$16</f>
        <v>171.5</v>
      </c>
      <c r="E9" s="17">
        <f>(D14+C14)/2*$C$16</f>
        <v>218.130420641042</v>
      </c>
      <c r="F9" s="26"/>
      <c r="G9" s="17"/>
      <c r="H9" s="23"/>
      <c r="I9" s="5"/>
    </row>
    <row r="10" s="1" customFormat="1" spans="1:9">
      <c r="A10" s="22">
        <v>2</v>
      </c>
      <c r="B10" s="22" t="s">
        <v>318</v>
      </c>
      <c r="C10" s="17">
        <f>C11+C14+C15</f>
        <v>2379.10309393069</v>
      </c>
      <c r="D10" s="17">
        <f>D11+D14+D15</f>
        <v>7475.82061878614</v>
      </c>
      <c r="E10" s="17">
        <f>E11+E14+E15</f>
        <v>-5096.71752485545</v>
      </c>
      <c r="F10" s="17"/>
      <c r="G10" s="17"/>
      <c r="H10" s="23"/>
      <c r="I10" s="5"/>
    </row>
    <row r="11" s="1" customFormat="1" spans="1:9">
      <c r="A11" s="22">
        <v>2.1</v>
      </c>
      <c r="B11" s="22" t="s">
        <v>319</v>
      </c>
      <c r="C11" s="17">
        <f t="shared" ref="C11:C15" si="1">D11+E11</f>
        <v>475.820618786138</v>
      </c>
      <c r="D11" s="17">
        <f>SUM(D12:D13)</f>
        <v>475.820618786138</v>
      </c>
      <c r="E11" s="17">
        <f>SUM(E12:E13)</f>
        <v>0</v>
      </c>
      <c r="F11" s="17" t="s">
        <v>320</v>
      </c>
      <c r="G11" s="17">
        <f t="shared" ref="G11:G14" si="2">C11/$C$6</f>
        <v>0.2</v>
      </c>
      <c r="H11" s="23"/>
      <c r="I11" s="5"/>
    </row>
    <row r="12" s="1" customFormat="1" spans="1:9">
      <c r="A12" s="22" t="s">
        <v>321</v>
      </c>
      <c r="B12" s="26" t="s">
        <v>322</v>
      </c>
      <c r="C12" s="17">
        <f t="shared" si="1"/>
        <v>237.910309393069</v>
      </c>
      <c r="D12" s="17">
        <f>C18*0.1</f>
        <v>237.910309393069</v>
      </c>
      <c r="E12" s="17"/>
      <c r="F12" s="27" t="s">
        <v>322</v>
      </c>
      <c r="G12" s="17">
        <f t="shared" si="2"/>
        <v>0.1</v>
      </c>
      <c r="H12" s="23"/>
      <c r="I12" s="5"/>
    </row>
    <row r="13" s="2" customFormat="1" ht="28.5" spans="1:12">
      <c r="A13" s="28" t="s">
        <v>323</v>
      </c>
      <c r="B13" s="28" t="s">
        <v>324</v>
      </c>
      <c r="C13" s="29">
        <f t="shared" si="1"/>
        <v>237.910309393069</v>
      </c>
      <c r="D13" s="29">
        <f>C18*0.1</f>
        <v>237.910309393069</v>
      </c>
      <c r="E13" s="29"/>
      <c r="F13" s="30" t="s">
        <v>325</v>
      </c>
      <c r="G13" s="29">
        <f t="shared" si="2"/>
        <v>0.1</v>
      </c>
      <c r="H13" s="31"/>
      <c r="I13" s="38">
        <f>D13/2*C17</f>
        <v>4.28238556907524</v>
      </c>
      <c r="J13" s="2">
        <f>(I13+D13+I13+D13)/2*C17</f>
        <v>8.71893701863719</v>
      </c>
      <c r="L13" s="39"/>
    </row>
    <row r="14" s="2" customFormat="1" spans="1:10">
      <c r="A14" s="28">
        <v>2.2</v>
      </c>
      <c r="B14" s="28" t="s">
        <v>326</v>
      </c>
      <c r="C14" s="29">
        <f t="shared" si="1"/>
        <v>1903.28247514455</v>
      </c>
      <c r="D14" s="29">
        <v>7000</v>
      </c>
      <c r="E14" s="29">
        <f>C18-D11-D14</f>
        <v>-5096.71752485545</v>
      </c>
      <c r="F14" s="32"/>
      <c r="G14" s="29">
        <f t="shared" si="2"/>
        <v>0.8</v>
      </c>
      <c r="H14" s="31"/>
      <c r="I14" s="38">
        <f>D14/2*C16</f>
        <v>171.5</v>
      </c>
      <c r="J14" s="2">
        <f>(D14+E14+I14+D14+I14)/2*C16</f>
        <v>226.533920641042</v>
      </c>
    </row>
    <row r="15" s="1" customFormat="1" spans="1:9">
      <c r="A15" s="22">
        <v>2.3</v>
      </c>
      <c r="B15" s="22" t="s">
        <v>327</v>
      </c>
      <c r="C15" s="17">
        <f t="shared" si="1"/>
        <v>0</v>
      </c>
      <c r="D15" s="17">
        <v>0</v>
      </c>
      <c r="E15" s="17">
        <v>0</v>
      </c>
      <c r="F15" s="26"/>
      <c r="G15" s="26"/>
      <c r="H15" s="7"/>
      <c r="I15" s="5"/>
    </row>
    <row r="16" s="1" customFormat="1" spans="1:9">
      <c r="A16" s="33"/>
      <c r="B16" s="33" t="s">
        <v>297</v>
      </c>
      <c r="C16" s="34">
        <v>0.049</v>
      </c>
      <c r="D16" s="33"/>
      <c r="E16" s="33"/>
      <c r="F16" s="5"/>
      <c r="G16" s="4"/>
      <c r="H16" s="7"/>
      <c r="I16" s="5"/>
    </row>
    <row r="17" s="1" customFormat="1" spans="1:9">
      <c r="A17" s="4"/>
      <c r="B17" s="33" t="s">
        <v>297</v>
      </c>
      <c r="C17" s="34">
        <v>0.036</v>
      </c>
      <c r="D17" s="4"/>
      <c r="E17" s="4"/>
      <c r="F17" s="5"/>
      <c r="G17" s="4"/>
      <c r="H17" s="7"/>
      <c r="I17" s="5"/>
    </row>
    <row r="18" s="1" customFormat="1" ht="28.5" spans="1:9">
      <c r="A18" s="4"/>
      <c r="B18" s="35" t="s">
        <v>328</v>
      </c>
      <c r="C18" s="36">
        <f>总表!H42</f>
        <v>2379.10309393069</v>
      </c>
      <c r="D18" s="36">
        <f>C6*0.8</f>
        <v>1903.28247514455</v>
      </c>
      <c r="E18" s="4" t="s">
        <v>329</v>
      </c>
      <c r="F18" s="5"/>
      <c r="G18" s="4"/>
      <c r="H18" s="7"/>
      <c r="I18" s="5"/>
    </row>
    <row r="19" s="1" customFormat="1" spans="1:9">
      <c r="A19" s="4"/>
      <c r="B19" s="7" t="s">
        <v>330</v>
      </c>
      <c r="C19" s="23">
        <v>20</v>
      </c>
      <c r="D19" s="4"/>
      <c r="E19" s="4"/>
      <c r="F19" s="5"/>
      <c r="G19" s="4"/>
      <c r="H19" s="4"/>
      <c r="I19" s="5"/>
    </row>
    <row r="20" s="1" customFormat="1" spans="1:9">
      <c r="A20" s="4"/>
      <c r="B20" s="7" t="s">
        <v>331</v>
      </c>
      <c r="C20" s="23">
        <v>22094</v>
      </c>
      <c r="D20" s="4"/>
      <c r="E20" s="4"/>
      <c r="F20" s="5"/>
      <c r="G20" s="4"/>
      <c r="H20" s="4"/>
      <c r="I20" s="5"/>
    </row>
    <row r="21" s="1" customFormat="1" ht="100" customHeight="1" spans="1:9">
      <c r="A21" s="4"/>
      <c r="B21" s="37" t="s">
        <v>332</v>
      </c>
      <c r="C21" s="4"/>
      <c r="D21" s="4"/>
      <c r="E21" s="4"/>
      <c r="F21" s="5"/>
      <c r="G21" s="4"/>
      <c r="H21" s="4"/>
      <c r="I21" s="5"/>
    </row>
    <row r="22" s="1" customFormat="1" spans="1:9">
      <c r="A22" s="4"/>
      <c r="B22" s="4"/>
      <c r="C22" s="4"/>
      <c r="D22" s="4"/>
      <c r="E22" s="4"/>
      <c r="F22" s="5"/>
      <c r="G22" s="4"/>
      <c r="H22" s="4"/>
      <c r="I22" s="5"/>
    </row>
  </sheetData>
  <mergeCells count="5">
    <mergeCell ref="A2:C2"/>
    <mergeCell ref="D4:E4"/>
    <mergeCell ref="A4:A5"/>
    <mergeCell ref="B4:B5"/>
    <mergeCell ref="C4:C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总表</vt:lpstr>
      <vt:lpstr>单价表 (2)</vt:lpstr>
      <vt:lpstr>Sheet1</vt:lpstr>
      <vt:lpstr>单价</vt:lpstr>
      <vt:lpstr>安装</vt:lpstr>
      <vt:lpstr>投资表</vt:lpstr>
      <vt:lpstr>利息</vt:lpstr>
      <vt:lpstr>纯贷款利息</vt:lpstr>
      <vt:lpstr>设计提供利息</vt:lpstr>
      <vt:lpstr>建筑面积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蒙凯</cp:lastModifiedBy>
  <dcterms:created xsi:type="dcterms:W3CDTF">2006-09-13T11:21:00Z</dcterms:created>
  <cp:lastPrinted>2020-03-16T07:04:00Z</cp:lastPrinted>
  <dcterms:modified xsi:type="dcterms:W3CDTF">2025-06-16T02:02:34Z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80A9B4300344499EAEBD970D8F9FC233</vt:lpwstr>
  </property>
</Properties>
</file>