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3" activeTab="3"/>
  </bookViews>
  <sheets>
    <sheet name="投资概算表" sheetId="20" r:id="rId1"/>
    <sheet name="用地统计" sheetId="27" r:id="rId2"/>
    <sheet name="审定概算" sheetId="24" state="hidden" r:id="rId3"/>
    <sheet name="对比表" sheetId="25" r:id="rId4"/>
    <sheet name="下穿铁路估算对比表" sheetId="22" state="hidden" r:id="rId5"/>
    <sheet name="基坑监测" sheetId="23" state="hidden" r:id="rId6"/>
    <sheet name="管线迁改保护" sheetId="21" state="hidden" r:id="rId7"/>
    <sheet name="总投资表" sheetId="19" state="hidden" r:id="rId8"/>
  </sheets>
  <definedNames>
    <definedName name="_xlnm._FilterDatabase" localSheetId="0" hidden="1">投资概算表!$A$1:$J$15</definedName>
    <definedName name="_xlnm.Print_Area" localSheetId="7">总投资表!$A$1:$H$15</definedName>
    <definedName name="_xlnm.Print_Area" localSheetId="0">投资概算表!$A$1:$J$75</definedName>
    <definedName name="_xlnm.Print_Titles" localSheetId="0">投资概算表!$1:$3</definedName>
    <definedName name="_xlnm.Print_Area" localSheetId="3">对比表!$A$1:$G$75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<sst xmlns="http://schemas.openxmlformats.org/spreadsheetml/2006/main" count="891" uniqueCount="515">
  <si>
    <t>建设项目名称：三亚市中心城区供水保障能力提升工程（一期）</t>
  </si>
  <si>
    <t>序号</t>
  </si>
  <si>
    <t>工程项目或费用名称</t>
  </si>
  <si>
    <t>概算金额（万元）</t>
  </si>
  <si>
    <t>技术经济指标</t>
  </si>
  <si>
    <t>备注</t>
  </si>
  <si>
    <t>建筑工程费</t>
  </si>
  <si>
    <t>设备及工
器具购置及安装费</t>
  </si>
  <si>
    <t>工程建设其他费用</t>
  </si>
  <si>
    <r>
      <rPr>
        <sz val="12"/>
        <color indexed="8"/>
        <rFont val="宋体"/>
        <charset val="134"/>
      </rPr>
      <t>合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计</t>
    </r>
  </si>
  <si>
    <t>单位</t>
  </si>
  <si>
    <t>数量</t>
  </si>
  <si>
    <r>
      <rPr>
        <sz val="12"/>
        <color rgb="FF000000"/>
        <rFont val="宋体"/>
        <charset val="134"/>
      </rPr>
      <t>单价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（元）</t>
    </r>
  </si>
  <si>
    <t>A</t>
  </si>
  <si>
    <r>
      <rPr>
        <b/>
        <sz val="14"/>
        <color indexed="8"/>
        <rFont val="宋体"/>
        <charset val="134"/>
      </rPr>
      <t>第一部分</t>
    </r>
    <r>
      <rPr>
        <b/>
        <sz val="14"/>
        <color indexed="8"/>
        <rFont val="Times New Roman"/>
        <charset val="134"/>
      </rPr>
      <t xml:space="preserve">  </t>
    </r>
    <r>
      <rPr>
        <b/>
        <sz val="14"/>
        <color indexed="8"/>
        <rFont val="宋体"/>
        <charset val="134"/>
      </rPr>
      <t>工程费用</t>
    </r>
  </si>
  <si>
    <t>m</t>
  </si>
  <si>
    <t>海榆西线</t>
  </si>
  <si>
    <t>桶西路</t>
  </si>
  <si>
    <t>鹿城大道-落笔洞路</t>
  </si>
  <si>
    <t>海润路</t>
  </si>
  <si>
    <t>三亚河东路</t>
  </si>
  <si>
    <t>天涯加压泵站改造</t>
  </si>
  <si>
    <t>座</t>
  </si>
  <si>
    <t>加压泵站-土建</t>
  </si>
  <si>
    <t>加压泵站-电气</t>
  </si>
  <si>
    <t>新联出口路</t>
  </si>
  <si>
    <t>8</t>
  </si>
  <si>
    <t>鹿城大道（清华路-育新路）供水管道</t>
  </si>
  <si>
    <t>9</t>
  </si>
  <si>
    <t>鹿城大道（桶西路-清华路段）供水管道</t>
  </si>
  <si>
    <t>铁路前后段管道</t>
  </si>
  <si>
    <t>B</t>
  </si>
  <si>
    <r>
      <rPr>
        <b/>
        <sz val="12"/>
        <rFont val="宋体"/>
        <charset val="134"/>
      </rPr>
      <t>第二部分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工程建设其它费用</t>
    </r>
  </si>
  <si>
    <t>1</t>
  </si>
  <si>
    <t>管线迁改保护费</t>
  </si>
  <si>
    <t>暂估，以实际为准</t>
  </si>
  <si>
    <t>(1)</t>
  </si>
  <si>
    <t>给水管道</t>
  </si>
  <si>
    <t>(2)</t>
  </si>
  <si>
    <t>雨水管道</t>
  </si>
  <si>
    <t>(3)</t>
  </si>
  <si>
    <t>污水管道</t>
  </si>
  <si>
    <t>(4)</t>
  </si>
  <si>
    <t>电信管道</t>
  </si>
  <si>
    <t>(5)</t>
  </si>
  <si>
    <t>电力管道</t>
  </si>
  <si>
    <t>(6)</t>
  </si>
  <si>
    <t>天然气管道</t>
  </si>
  <si>
    <t>2</t>
  </si>
  <si>
    <t>建设用地费</t>
  </si>
  <si>
    <t>临时租地</t>
  </si>
  <si>
    <t>亩</t>
  </si>
  <si>
    <t>永久租地</t>
  </si>
  <si>
    <t>琼府[2024]9号</t>
  </si>
  <si>
    <t>青苗补偿</t>
  </si>
  <si>
    <t>农田复垦</t>
  </si>
  <si>
    <t>3</t>
  </si>
  <si>
    <t>建设管理费</t>
  </si>
  <si>
    <t>建设单位管理费</t>
  </si>
  <si>
    <t>财建[2016]504号</t>
  </si>
  <si>
    <t>3.2</t>
  </si>
  <si>
    <t>施工图技术审查服务收费</t>
  </si>
  <si>
    <t>琼价费管[2011]224号，八折计取</t>
  </si>
  <si>
    <t>3.3</t>
  </si>
  <si>
    <t>招标代理服务费</t>
  </si>
  <si>
    <t>计价格[2002]1980号，八折计取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</si>
  <si>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</si>
  <si>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招标代理服务费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工程招标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</si>
  <si>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2</t>
    </r>
    <r>
      <rPr>
        <sz val="12"/>
        <rFont val="宋体"/>
        <charset val="0"/>
      </rPr>
      <t>）</t>
    </r>
  </si>
  <si>
    <r>
      <rPr>
        <sz val="12"/>
        <rFont val="宋体"/>
        <charset val="134"/>
      </rPr>
      <t>招标代理服务费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勘察测量服务招标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</si>
  <si>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</si>
  <si>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招标代理服务费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设计服务招标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</si>
  <si>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4</t>
    </r>
    <r>
      <rPr>
        <sz val="12"/>
        <rFont val="宋体"/>
        <charset val="0"/>
      </rPr>
      <t>）</t>
    </r>
  </si>
  <si>
    <r>
      <rPr>
        <sz val="12"/>
        <rFont val="宋体"/>
        <charset val="134"/>
      </rPr>
      <t>招标代理服务费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监理服务招标</t>
    </r>
    <r>
      <rPr>
        <sz val="12"/>
        <rFont val="Times New Roman"/>
        <charset val="134"/>
      </rPr>
      <t>)</t>
    </r>
  </si>
  <si>
    <t>3.4</t>
  </si>
  <si>
    <t>造价咨询服务费</t>
  </si>
  <si>
    <r>
      <rPr>
        <sz val="12"/>
        <rFont val="宋体"/>
        <charset val="134"/>
      </rPr>
      <t>琼价协</t>
    </r>
    <r>
      <rPr>
        <sz val="12"/>
        <rFont val="Times New Roman"/>
        <charset val="134"/>
      </rPr>
      <t>[2020]01</t>
    </r>
    <r>
      <rPr>
        <sz val="12"/>
        <rFont val="宋体"/>
        <charset val="134"/>
      </rPr>
      <t>号，七折计取</t>
    </r>
  </si>
  <si>
    <t>（1）</t>
  </si>
  <si>
    <t>工程量清单及招标控制价编制费</t>
  </si>
  <si>
    <t>（2）</t>
  </si>
  <si>
    <t>竣工结算审核费</t>
  </si>
  <si>
    <t>工程建设监理费</t>
  </si>
  <si>
    <t>发改价格[2007]670号，八折计取</t>
  </si>
  <si>
    <t>4</t>
  </si>
  <si>
    <t>建设项目前期咨询费</t>
  </si>
  <si>
    <t>合同价</t>
  </si>
  <si>
    <t>编制可行性研究报告</t>
  </si>
  <si>
    <t>5</t>
  </si>
  <si>
    <t>工程勘察设计费</t>
  </si>
  <si>
    <t>计价格[2002]10号</t>
  </si>
  <si>
    <t>工程勘察费</t>
  </si>
  <si>
    <t>工程费*0.6%</t>
  </si>
  <si>
    <t>工程测量费</t>
  </si>
  <si>
    <t>工程费*0.3%</t>
  </si>
  <si>
    <t>工程设计费</t>
  </si>
  <si>
    <t>合同价：3471303.00元</t>
  </si>
  <si>
    <t>6</t>
  </si>
  <si>
    <t>其他费用</t>
  </si>
  <si>
    <t>6.1</t>
  </si>
  <si>
    <t>环境影响咨询服务费</t>
  </si>
  <si>
    <t>计价格[2002]125号</t>
  </si>
  <si>
    <t>编制环境影响报告表</t>
  </si>
  <si>
    <t>6.2</t>
  </si>
  <si>
    <t>水保监费用</t>
  </si>
  <si>
    <t>水土保持方案编制费</t>
  </si>
  <si>
    <r>
      <rPr>
        <sz val="12"/>
        <rFont val="宋体"/>
        <charset val="134"/>
      </rPr>
      <t>水保监</t>
    </r>
    <r>
      <rPr>
        <sz val="12"/>
        <rFont val="Times New Roman"/>
        <charset val="134"/>
      </rPr>
      <t>[2005]22</t>
    </r>
    <r>
      <rPr>
        <sz val="12"/>
        <rFont val="宋体"/>
        <charset val="134"/>
      </rPr>
      <t>号,五折计取</t>
    </r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</si>
  <si>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）</t>
    </r>
  </si>
  <si>
    <t>水土保持施工期监测费</t>
  </si>
  <si>
    <t>水土保护设施竣工验收技术评估报告编制费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</si>
  <si>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）</t>
    </r>
  </si>
  <si>
    <t>水土保持技术文件技术咨询服务费</t>
  </si>
  <si>
    <r>
      <rPr>
        <sz val="12"/>
        <rFont val="宋体"/>
        <charset val="134"/>
      </rPr>
      <t>水保监</t>
    </r>
    <r>
      <rPr>
        <sz val="12"/>
        <rFont val="Times New Roman"/>
        <charset val="134"/>
      </rPr>
      <t>[2005]22</t>
    </r>
    <r>
      <rPr>
        <sz val="12"/>
        <rFont val="宋体"/>
        <charset val="134"/>
      </rPr>
      <t>号</t>
    </r>
  </si>
  <si>
    <t>水土保持设施补偿及水土流失防治费</t>
  </si>
  <si>
    <t>暂估,以实际为准</t>
  </si>
  <si>
    <t>6.4</t>
  </si>
  <si>
    <r>
      <rPr>
        <b/>
        <sz val="12"/>
        <rFont val="宋体"/>
        <charset val="134"/>
      </rPr>
      <t>场地准备及临时设施费</t>
    </r>
    <r>
      <rPr>
        <b/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</si>
  <si>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工程费用</t>
    </r>
    <r>
      <rPr>
        <sz val="12"/>
        <rFont val="Times New Roman"/>
        <charset val="134"/>
      </rPr>
      <t>×</t>
    </r>
    <r>
      <rPr>
        <sz val="12"/>
        <rFont val="宋体"/>
        <charset val="134"/>
      </rPr>
      <t>0.5</t>
    </r>
    <r>
      <rPr>
        <sz val="12"/>
        <rFont val="Times New Roman"/>
        <charset val="134"/>
      </rPr>
      <t>%</t>
    </r>
  </si>
  <si>
    <t>6.5</t>
  </si>
  <si>
    <t>工程保险费</t>
  </si>
  <si>
    <r>
      <rPr>
        <sz val="12"/>
        <rFont val="宋体"/>
        <charset val="134"/>
      </rPr>
      <t>工程费用</t>
    </r>
    <r>
      <rPr>
        <sz val="12"/>
        <rFont val="Times New Roman"/>
        <charset val="134"/>
      </rPr>
      <t>×0.3%</t>
    </r>
  </si>
  <si>
    <t>6.6</t>
  </si>
  <si>
    <t>涉及铁路工程相关费用</t>
  </si>
  <si>
    <t>处</t>
  </si>
  <si>
    <t>涉铁1处，详见估算附件</t>
  </si>
  <si>
    <t>交通疏导费</t>
  </si>
  <si>
    <t>1项</t>
  </si>
  <si>
    <t>6.8</t>
  </si>
  <si>
    <t>工程质量检测费</t>
  </si>
  <si>
    <t>参考《建设工程质量检测管理办法》（住建部第57号令）第十七条，暂按工程费用0.7%计取，以实际发生为准</t>
  </si>
  <si>
    <t>规划放线及验线费</t>
  </si>
  <si>
    <t>琼价审批2010[397]</t>
  </si>
  <si>
    <t>基坑监测费</t>
  </si>
  <si>
    <t>详见估算附件</t>
  </si>
  <si>
    <t>7</t>
  </si>
  <si>
    <t>专项评价费</t>
  </si>
  <si>
    <t>暂估，以实际发生为准</t>
  </si>
  <si>
    <t>7.1</t>
  </si>
  <si>
    <t>地质灾害危险性评估费</t>
  </si>
  <si>
    <t>发改办价格[2006]745号,暂估，以实际为准</t>
  </si>
  <si>
    <t>7.2</t>
  </si>
  <si>
    <t>道路安全评价报告</t>
  </si>
  <si>
    <t>7.3</t>
  </si>
  <si>
    <t>防洪影响评价</t>
  </si>
  <si>
    <t>7.4</t>
  </si>
  <si>
    <t>社会稳定性风险评估报告编制及评估费</t>
  </si>
  <si>
    <t>琼风评研中心函[2019]1号</t>
  </si>
  <si>
    <t>7.5</t>
  </si>
  <si>
    <t>物探</t>
  </si>
  <si>
    <t>参考计价格［2002］10号，项目总管长是20.68km,物探范围约10m宽，物探单价按1.5元/m2计取</t>
  </si>
  <si>
    <t>第一部分 工程费用</t>
  </si>
  <si>
    <t>第二部分 工程建设其他费用</t>
  </si>
  <si>
    <t>C</t>
  </si>
  <si>
    <r>
      <rPr>
        <b/>
        <sz val="12"/>
        <color rgb="FF000000"/>
        <rFont val="宋体"/>
        <charset val="134"/>
      </rPr>
      <t>预备费</t>
    </r>
    <r>
      <rPr>
        <b/>
        <sz val="12"/>
        <color rgb="FF000000"/>
        <rFont val="Times New Roman"/>
        <charset val="134"/>
      </rPr>
      <t>(A+B)*5%</t>
    </r>
  </si>
  <si>
    <t>第一、二部分费用之和扣除征地和涉铁费用*5%</t>
  </si>
  <si>
    <t>建设投资（A+B+C)</t>
  </si>
  <si>
    <t>D</t>
  </si>
  <si>
    <t>建设期贷款利息</t>
  </si>
  <si>
    <t>政府投资，不计利息</t>
  </si>
  <si>
    <t>E</t>
  </si>
  <si>
    <t>建设项目总投资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</si>
  <si>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</si>
  <si>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费用名称</t>
    </r>
  </si>
  <si>
    <t>金额</t>
  </si>
  <si>
    <r>
      <rPr>
        <b/>
        <sz val="12"/>
        <color rgb="FF000000"/>
        <rFont val="宋体"/>
        <charset val="134"/>
      </rPr>
      <t>所占比例</t>
    </r>
  </si>
  <si>
    <r>
      <rPr>
        <b/>
        <sz val="12"/>
        <color rgb="FF000000"/>
        <rFont val="宋体"/>
        <charset val="134"/>
      </rPr>
      <t>备注</t>
    </r>
  </si>
  <si>
    <r>
      <rPr>
        <sz val="11"/>
        <color rgb="FF000000"/>
        <rFont val="宋体"/>
        <charset val="134"/>
      </rPr>
      <t>工程费用</t>
    </r>
  </si>
  <si>
    <r>
      <rPr>
        <sz val="11"/>
        <color rgb="FF000000"/>
        <rFont val="宋体"/>
        <charset val="134"/>
      </rPr>
      <t>工程建设其他费用</t>
    </r>
  </si>
  <si>
    <r>
      <rPr>
        <sz val="11"/>
        <color rgb="FF000000"/>
        <rFont val="宋体"/>
        <charset val="134"/>
      </rPr>
      <t>预备费</t>
    </r>
  </si>
  <si>
    <r>
      <rPr>
        <sz val="11"/>
        <color rgb="FF000000"/>
        <rFont val="宋体"/>
        <charset val="134"/>
      </rPr>
      <t>建设期利息</t>
    </r>
  </si>
  <si>
    <r>
      <rPr>
        <sz val="11"/>
        <color rgb="FF000000"/>
        <rFont val="宋体"/>
        <charset val="134"/>
      </rPr>
      <t>合计</t>
    </r>
  </si>
  <si>
    <t>子目名称</t>
  </si>
  <si>
    <t>给水（m）</t>
  </si>
  <si>
    <t>雨水（m）</t>
  </si>
  <si>
    <t>污水（m）</t>
  </si>
  <si>
    <t>通信（m）</t>
  </si>
  <si>
    <t>电力（m）</t>
  </si>
  <si>
    <t>天然气（m）</t>
  </si>
  <si>
    <t>临时租地（㎡）</t>
  </si>
  <si>
    <t>永久租地（㎡）</t>
  </si>
  <si>
    <t>青苗补偿（㎡）</t>
  </si>
  <si>
    <t>农田复垦（㎡）</t>
  </si>
  <si>
    <t>太阳城南路</t>
  </si>
  <si>
    <t>新联路</t>
  </si>
  <si>
    <t>新联出口路（环岛高速段）</t>
  </si>
  <si>
    <t>合计</t>
  </si>
  <si>
    <r>
      <rPr>
        <b/>
        <sz val="11"/>
        <color rgb="FF000000"/>
        <rFont val="宋体"/>
        <charset val="134"/>
      </rPr>
      <t>建设项目名称：三亚市中心城区供水保障能力提升工程（一期）</t>
    </r>
  </si>
  <si>
    <r>
      <rPr>
        <sz val="11"/>
        <color indexed="8"/>
        <rFont val="宋体"/>
        <charset val="134"/>
      </rPr>
      <t>序号</t>
    </r>
  </si>
  <si>
    <r>
      <rPr>
        <sz val="11"/>
        <color indexed="8"/>
        <rFont val="宋体"/>
        <charset val="134"/>
      </rPr>
      <t>工程项目或费用名称</t>
    </r>
  </si>
  <si>
    <r>
      <rPr>
        <sz val="11"/>
        <color indexed="8"/>
        <rFont val="宋体"/>
        <charset val="134"/>
      </rPr>
      <t>概算金额（万元）</t>
    </r>
  </si>
  <si>
    <r>
      <rPr>
        <sz val="11"/>
        <color indexed="8"/>
        <rFont val="宋体"/>
        <charset val="134"/>
      </rPr>
      <t>技术经济指标</t>
    </r>
  </si>
  <si>
    <r>
      <rPr>
        <sz val="11"/>
        <color indexed="8"/>
        <rFont val="宋体"/>
        <charset val="134"/>
      </rPr>
      <t>备注</t>
    </r>
  </si>
  <si>
    <r>
      <rPr>
        <sz val="11"/>
        <color indexed="8"/>
        <rFont val="宋体"/>
        <charset val="134"/>
      </rPr>
      <t>建筑工程费</t>
    </r>
  </si>
  <si>
    <r>
      <rPr>
        <sz val="11"/>
        <color rgb="FF000000"/>
        <rFont val="宋体"/>
        <charset val="134"/>
      </rPr>
      <t>设备及工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器具购置及安装费</t>
    </r>
  </si>
  <si>
    <r>
      <rPr>
        <sz val="11"/>
        <color indexed="8"/>
        <rFont val="宋体"/>
        <charset val="134"/>
      </rPr>
      <t>工程建设其他费用</t>
    </r>
  </si>
  <si>
    <r>
      <rPr>
        <sz val="11"/>
        <color indexed="8"/>
        <rFont val="宋体"/>
        <charset val="134"/>
      </rPr>
      <t>合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</si>
  <si>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单位</t>
    </r>
  </si>
  <si>
    <r>
      <rPr>
        <sz val="11"/>
        <color indexed="8"/>
        <rFont val="宋体"/>
        <charset val="134"/>
      </rPr>
      <t>数量</t>
    </r>
  </si>
  <si>
    <r>
      <rPr>
        <sz val="11"/>
        <color rgb="FF000000"/>
        <rFont val="宋体"/>
        <charset val="134"/>
      </rPr>
      <t>单价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（元）</t>
    </r>
  </si>
  <si>
    <t>一</t>
  </si>
  <si>
    <t>工程费用</t>
  </si>
  <si>
    <r>
      <rPr>
        <b/>
        <sz val="11"/>
        <color indexed="8"/>
        <rFont val="宋体"/>
        <charset val="134"/>
      </rPr>
      <t>第一部分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工程费用</t>
    </r>
  </si>
  <si>
    <r>
      <rPr>
        <sz val="11"/>
        <color indexed="8"/>
        <rFont val="宋体"/>
        <charset val="134"/>
      </rPr>
      <t>海榆西线</t>
    </r>
  </si>
  <si>
    <t>管道工程（海榆西线）</t>
  </si>
  <si>
    <r>
      <rPr>
        <sz val="11"/>
        <color indexed="8"/>
        <rFont val="宋体"/>
        <charset val="134"/>
      </rPr>
      <t>桶西路</t>
    </r>
  </si>
  <si>
    <r>
      <rPr>
        <sz val="11"/>
        <color indexed="8"/>
        <rFont val="宋体"/>
        <charset val="134"/>
      </rPr>
      <t>鹿城大道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落笔洞路</t>
    </r>
  </si>
  <si>
    <t>管道工程（桶西路）</t>
  </si>
  <si>
    <r>
      <rPr>
        <sz val="11"/>
        <color indexed="8"/>
        <rFont val="宋体"/>
        <charset val="134"/>
      </rPr>
      <t>海润路</t>
    </r>
  </si>
  <si>
    <r>
      <rPr>
        <sz val="11"/>
        <color indexed="8"/>
        <rFont val="宋体"/>
        <charset val="134"/>
      </rPr>
      <t>三亚河东路</t>
    </r>
  </si>
  <si>
    <t>管道工程（鹿城大道-落笔洞路）</t>
  </si>
  <si>
    <r>
      <rPr>
        <sz val="11"/>
        <color indexed="8"/>
        <rFont val="宋体"/>
        <charset val="134"/>
      </rPr>
      <t>天涯加压泵站改造</t>
    </r>
  </si>
  <si>
    <r>
      <rPr>
        <sz val="11"/>
        <color rgb="FF000000"/>
        <rFont val="宋体"/>
        <charset val="134"/>
      </rPr>
      <t>座</t>
    </r>
  </si>
  <si>
    <r>
      <rPr>
        <sz val="11"/>
        <color indexed="8"/>
        <rFont val="宋体"/>
        <charset val="134"/>
      </rPr>
      <t>加压泵站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土建</t>
    </r>
  </si>
  <si>
    <t>管道工程（海润路）</t>
  </si>
  <si>
    <r>
      <rPr>
        <sz val="11"/>
        <color indexed="8"/>
        <rFont val="宋体"/>
        <charset val="134"/>
      </rPr>
      <t>加压泵站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电气</t>
    </r>
  </si>
  <si>
    <r>
      <rPr>
        <sz val="11"/>
        <color indexed="8"/>
        <rFont val="宋体"/>
        <charset val="134"/>
      </rPr>
      <t>新联出口路</t>
    </r>
  </si>
  <si>
    <t>管道工程（三亚河东路）</t>
  </si>
  <si>
    <r>
      <rPr>
        <sz val="11"/>
        <color indexed="8"/>
        <rFont val="宋体"/>
        <charset val="134"/>
      </rPr>
      <t>鹿城大道（清华路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育新路）供水管道</t>
    </r>
  </si>
  <si>
    <r>
      <rPr>
        <sz val="11"/>
        <color indexed="8"/>
        <rFont val="宋体"/>
        <charset val="134"/>
      </rPr>
      <t>鹿城大道（桶西路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清华路段）供水管道</t>
    </r>
  </si>
  <si>
    <t>/</t>
  </si>
  <si>
    <r>
      <rPr>
        <sz val="11"/>
        <color indexed="8"/>
        <rFont val="宋体"/>
        <charset val="134"/>
      </rPr>
      <t>铁路前后段管道</t>
    </r>
  </si>
  <si>
    <r>
      <rPr>
        <b/>
        <sz val="11"/>
        <rFont val="宋体"/>
        <charset val="134"/>
      </rPr>
      <t>第二部分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工程建设其它费用</t>
    </r>
  </si>
  <si>
    <r>
      <rPr>
        <b/>
        <sz val="11"/>
        <rFont val="宋体"/>
        <charset val="134"/>
      </rPr>
      <t>管线迁改保护费</t>
    </r>
  </si>
  <si>
    <t>暂按送审金额计入，最终以实际为准。</t>
  </si>
  <si>
    <t>管道工程（新联出口路）</t>
  </si>
  <si>
    <r>
      <rPr>
        <sz val="11"/>
        <rFont val="宋体"/>
        <charset val="134"/>
      </rPr>
      <t>给水管道</t>
    </r>
  </si>
  <si>
    <r>
      <rPr>
        <sz val="11"/>
        <rFont val="宋体"/>
        <charset val="134"/>
      </rPr>
      <t>雨水管道</t>
    </r>
  </si>
  <si>
    <t>三亚市中心城区供水保障能力提升工程(一期)（二标段）</t>
  </si>
  <si>
    <r>
      <rPr>
        <sz val="11"/>
        <rFont val="宋体"/>
        <charset val="134"/>
      </rPr>
      <t>污水管道</t>
    </r>
  </si>
  <si>
    <r>
      <rPr>
        <sz val="11"/>
        <rFont val="宋体"/>
        <charset val="134"/>
      </rPr>
      <t>电信管道</t>
    </r>
  </si>
  <si>
    <r>
      <rPr>
        <sz val="11"/>
        <rFont val="宋体"/>
        <charset val="134"/>
      </rPr>
      <t>电力管道</t>
    </r>
  </si>
  <si>
    <r>
      <rPr>
        <sz val="11"/>
        <rFont val="宋体"/>
        <charset val="134"/>
      </rPr>
      <t>天然气管道</t>
    </r>
  </si>
  <si>
    <r>
      <rPr>
        <b/>
        <sz val="11"/>
        <rFont val="宋体"/>
        <charset val="134"/>
      </rPr>
      <t>建设用地费</t>
    </r>
  </si>
  <si>
    <r>
      <rPr>
        <sz val="11"/>
        <rFont val="宋体"/>
        <charset val="134"/>
      </rPr>
      <t>临时租地</t>
    </r>
  </si>
  <si>
    <r>
      <rPr>
        <sz val="11"/>
        <rFont val="宋体"/>
        <charset val="134"/>
      </rPr>
      <t>亩</t>
    </r>
  </si>
  <si>
    <r>
      <rPr>
        <sz val="11"/>
        <rFont val="宋体"/>
        <charset val="0"/>
      </rPr>
      <t>核减新联出口路（环岛高速段）用地。</t>
    </r>
  </si>
  <si>
    <r>
      <rPr>
        <sz val="11"/>
        <rFont val="宋体"/>
        <charset val="134"/>
      </rPr>
      <t>永久租地</t>
    </r>
  </si>
  <si>
    <r>
      <rPr>
        <sz val="11"/>
        <rFont val="宋体"/>
        <charset val="0"/>
      </rPr>
      <t>依据设计说明核减。</t>
    </r>
  </si>
  <si>
    <r>
      <rPr>
        <sz val="11"/>
        <rFont val="宋体"/>
        <charset val="134"/>
      </rPr>
      <t>青苗补偿</t>
    </r>
  </si>
  <si>
    <r>
      <rPr>
        <sz val="11"/>
        <rFont val="宋体"/>
        <charset val="134"/>
      </rPr>
      <t>农田复垦</t>
    </r>
  </si>
  <si>
    <r>
      <rPr>
        <b/>
        <sz val="11"/>
        <rFont val="宋体"/>
        <charset val="134"/>
      </rPr>
      <t>建设管理费</t>
    </r>
  </si>
  <si>
    <r>
      <rPr>
        <b/>
        <sz val="11"/>
        <rFont val="宋体"/>
        <charset val="134"/>
      </rPr>
      <t>建设单位管理费</t>
    </r>
  </si>
  <si>
    <r>
      <rPr>
        <sz val="11"/>
        <rFont val="宋体"/>
        <charset val="134"/>
      </rPr>
      <t>财建〔</t>
    </r>
    <r>
      <rPr>
        <sz val="11"/>
        <rFont val="Times New Roman"/>
        <charset val="134"/>
      </rPr>
      <t>2016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504</t>
    </r>
    <r>
      <rPr>
        <sz val="11"/>
        <rFont val="宋体"/>
        <charset val="134"/>
      </rPr>
      <t>号。</t>
    </r>
  </si>
  <si>
    <r>
      <rPr>
        <b/>
        <sz val="11"/>
        <rFont val="宋体"/>
        <charset val="134"/>
      </rPr>
      <t>施工图技术审查服务收费</t>
    </r>
  </si>
  <si>
    <t>合同价。</t>
  </si>
  <si>
    <t>标准收费</t>
  </si>
  <si>
    <r>
      <rPr>
        <b/>
        <sz val="11"/>
        <rFont val="宋体"/>
        <charset val="134"/>
      </rPr>
      <t>招标代理服务费</t>
    </r>
  </si>
  <si>
    <r>
      <rPr>
        <sz val="11"/>
        <rFont val="宋体"/>
        <charset val="134"/>
      </rPr>
      <t>计价格〔</t>
    </r>
    <r>
      <rPr>
        <sz val="11"/>
        <rFont val="Times New Roman"/>
        <charset val="134"/>
      </rPr>
      <t>2002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1980</t>
    </r>
    <r>
      <rPr>
        <sz val="11"/>
        <rFont val="宋体"/>
        <charset val="134"/>
      </rPr>
      <t>号，八折计取。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</si>
  <si>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</si>
  <si>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招标代理服务费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工程招标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</si>
  <si>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）</t>
    </r>
  </si>
  <si>
    <r>
      <rPr>
        <sz val="11"/>
        <rFont val="宋体"/>
        <charset val="134"/>
      </rPr>
      <t>招标代理服务费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勘察测量服务招标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</si>
  <si>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</si>
  <si>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招标代理服务费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设计服务招标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</si>
  <si>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）</t>
    </r>
  </si>
  <si>
    <r>
      <rPr>
        <sz val="11"/>
        <rFont val="宋体"/>
        <charset val="134"/>
      </rPr>
      <t>招标代理服务费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监理服务招标</t>
    </r>
    <r>
      <rPr>
        <sz val="11"/>
        <rFont val="Times New Roman"/>
        <charset val="134"/>
      </rPr>
      <t>)</t>
    </r>
  </si>
  <si>
    <r>
      <rPr>
        <b/>
        <sz val="11"/>
        <rFont val="宋体"/>
        <charset val="134"/>
      </rPr>
      <t>造价咨询服务费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</si>
  <si>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</si>
  <si>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工程量清单及招标控制价编制费</t>
    </r>
  </si>
  <si>
    <t>工程量清单编制标准收费</t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</si>
  <si>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</si>
  <si>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竣工结算审核费</t>
    </r>
  </si>
  <si>
    <r>
      <rPr>
        <sz val="11"/>
        <rFont val="宋体"/>
        <charset val="134"/>
      </rPr>
      <t>琼价协〔</t>
    </r>
    <r>
      <rPr>
        <sz val="11"/>
        <rFont val="Times New Roman"/>
        <charset val="134"/>
      </rPr>
      <t>2020]01</t>
    </r>
    <r>
      <rPr>
        <sz val="11"/>
        <rFont val="宋体"/>
        <charset val="134"/>
      </rPr>
      <t>号，八折计取。</t>
    </r>
  </si>
  <si>
    <r>
      <rPr>
        <b/>
        <sz val="11"/>
        <rFont val="宋体"/>
        <charset val="134"/>
      </rPr>
      <t>工程建设监理费</t>
    </r>
  </si>
  <si>
    <r>
      <rPr>
        <b/>
        <sz val="11"/>
        <rFont val="宋体"/>
        <charset val="134"/>
      </rPr>
      <t>建设项目前期咨询费</t>
    </r>
  </si>
  <si>
    <r>
      <rPr>
        <sz val="11"/>
        <rFont val="宋体"/>
        <charset val="134"/>
      </rPr>
      <t>编制可行性研究报告</t>
    </r>
  </si>
  <si>
    <t>可研标准收费</t>
  </si>
  <si>
    <r>
      <rPr>
        <b/>
        <sz val="11"/>
        <rFont val="宋体"/>
        <charset val="134"/>
      </rPr>
      <t>工程勘察设计费</t>
    </r>
  </si>
  <si>
    <r>
      <rPr>
        <sz val="11"/>
        <rFont val="宋体"/>
        <charset val="134"/>
      </rPr>
      <t>工程勘察费</t>
    </r>
  </si>
  <si>
    <r>
      <rPr>
        <sz val="11"/>
        <rFont val="宋体"/>
        <charset val="134"/>
      </rPr>
      <t>已签订合同为</t>
    </r>
    <r>
      <rPr>
        <sz val="11"/>
        <rFont val="Times New Roman"/>
        <charset val="134"/>
      </rPr>
      <t>1800</t>
    </r>
    <r>
      <rPr>
        <sz val="11"/>
        <rFont val="宋体"/>
        <charset val="134"/>
      </rPr>
      <t>米，鹿城大道和涉铁段内容进行补勘，增加钻孔进尺276米，总进尺2076米。</t>
    </r>
  </si>
  <si>
    <t>已审查合格的勘察报告进尺1800m，后续设计方案增加鹿城大道和涉铁段内容，勘察进行补勘，共增加钻孔进尺276m，合计进尺2303.5m，勘察费应为460700元。</t>
  </si>
  <si>
    <r>
      <rPr>
        <sz val="11"/>
        <rFont val="宋体"/>
        <charset val="134"/>
      </rPr>
      <t>工程测量费</t>
    </r>
  </si>
  <si>
    <r>
      <rPr>
        <sz val="11"/>
        <rFont val="宋体"/>
        <charset val="134"/>
      </rPr>
      <t>工程设计费</t>
    </r>
  </si>
  <si>
    <r>
      <rPr>
        <b/>
        <sz val="11"/>
        <rFont val="宋体"/>
        <charset val="134"/>
      </rPr>
      <t>其他费用</t>
    </r>
  </si>
  <si>
    <r>
      <rPr>
        <b/>
        <sz val="11"/>
        <rFont val="宋体"/>
        <charset val="134"/>
      </rPr>
      <t>环境影响咨询服务费</t>
    </r>
  </si>
  <si>
    <r>
      <rPr>
        <sz val="11"/>
        <rFont val="宋体"/>
        <charset val="134"/>
      </rPr>
      <t>编制环境影响报告表</t>
    </r>
  </si>
  <si>
    <t>不发生。</t>
  </si>
  <si>
    <r>
      <rPr>
        <b/>
        <sz val="11"/>
        <rFont val="宋体"/>
        <charset val="134"/>
      </rPr>
      <t>水保监费用</t>
    </r>
  </si>
  <si>
    <r>
      <rPr>
        <sz val="11"/>
        <rFont val="宋体"/>
        <charset val="134"/>
      </rPr>
      <t>水土保持方案编制费</t>
    </r>
  </si>
  <si>
    <r>
      <rPr>
        <sz val="11"/>
        <rFont val="宋体"/>
        <charset val="134"/>
      </rPr>
      <t>水保监〔</t>
    </r>
    <r>
      <rPr>
        <sz val="11"/>
        <rFont val="Times New Roman"/>
        <charset val="134"/>
      </rPr>
      <t>2005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号，五折计取。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</si>
  <si>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</si>
  <si>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水土保持施工期监测费</t>
    </r>
  </si>
  <si>
    <r>
      <rPr>
        <sz val="11"/>
        <rFont val="宋体"/>
        <charset val="134"/>
      </rPr>
      <t>水土保护设施竣工验收技术评估报告编制费</t>
    </r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</si>
  <si>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</si>
  <si>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水土保持技术文件技术咨询服务费</t>
    </r>
  </si>
  <si>
    <r>
      <rPr>
        <sz val="11"/>
        <rFont val="宋体"/>
        <charset val="134"/>
      </rPr>
      <t>水保监〔</t>
    </r>
    <r>
      <rPr>
        <sz val="11"/>
        <rFont val="Times New Roman"/>
        <charset val="134"/>
      </rPr>
      <t>2005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号。</t>
    </r>
  </si>
  <si>
    <r>
      <rPr>
        <b/>
        <sz val="11"/>
        <rFont val="宋体"/>
        <charset val="134"/>
      </rPr>
      <t>水土保持设施补偿及水土流失防治费</t>
    </r>
  </si>
  <si>
    <t>暂估，以实际为准。</t>
  </si>
  <si>
    <r>
      <rPr>
        <b/>
        <sz val="11"/>
        <rFont val="宋体"/>
        <charset val="134"/>
      </rPr>
      <t>场地准备及临时设施费</t>
    </r>
    <r>
      <rPr>
        <b/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</si>
  <si>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工程费用×</t>
    </r>
    <r>
      <rPr>
        <sz val="11"/>
        <rFont val="Times New Roman"/>
        <charset val="134"/>
      </rPr>
      <t>0.5%</t>
    </r>
    <r>
      <rPr>
        <sz val="11"/>
        <rFont val="宋体"/>
        <charset val="134"/>
      </rPr>
      <t>。</t>
    </r>
  </si>
  <si>
    <r>
      <rPr>
        <b/>
        <sz val="11"/>
        <rFont val="宋体"/>
        <charset val="134"/>
      </rPr>
      <t>工程保险费</t>
    </r>
  </si>
  <si>
    <r>
      <rPr>
        <sz val="11"/>
        <rFont val="宋体"/>
        <charset val="134"/>
      </rPr>
      <t>工程费用×</t>
    </r>
    <r>
      <rPr>
        <sz val="11"/>
        <rFont val="Times New Roman"/>
        <charset val="134"/>
      </rPr>
      <t>0.3%</t>
    </r>
    <r>
      <rPr>
        <sz val="11"/>
        <rFont val="宋体"/>
        <charset val="134"/>
      </rPr>
      <t>。</t>
    </r>
  </si>
  <si>
    <r>
      <rPr>
        <sz val="11"/>
        <rFont val="宋体"/>
        <charset val="134"/>
      </rPr>
      <t>涉铁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处，详见估算附件。</t>
    </r>
  </si>
  <si>
    <r>
      <rPr>
        <b/>
        <sz val="11"/>
        <rFont val="宋体"/>
        <charset val="134"/>
      </rPr>
      <t>交通疏导费</t>
    </r>
  </si>
  <si>
    <t>暂估，以实际发生为准。</t>
  </si>
  <si>
    <r>
      <rPr>
        <b/>
        <sz val="11"/>
        <rFont val="宋体"/>
        <charset val="134"/>
      </rPr>
      <t>工程质量检测费</t>
    </r>
  </si>
  <si>
    <r>
      <rPr>
        <sz val="11"/>
        <rFont val="宋体"/>
        <charset val="134"/>
      </rPr>
      <t>暂按工程费用</t>
    </r>
    <r>
      <rPr>
        <sz val="11"/>
        <rFont val="Times New Roman"/>
        <charset val="134"/>
      </rPr>
      <t>0.7%</t>
    </r>
    <r>
      <rPr>
        <sz val="11"/>
        <rFont val="宋体"/>
        <charset val="134"/>
      </rPr>
      <t>后八折计入。</t>
    </r>
  </si>
  <si>
    <t>暂按一亩按四个点计入。</t>
  </si>
  <si>
    <r>
      <rPr>
        <b/>
        <sz val="11"/>
        <color theme="1"/>
        <rFont val="宋体"/>
        <charset val="134"/>
      </rPr>
      <t>基坑监测费</t>
    </r>
  </si>
  <si>
    <t>送审工作井数量错误，评估调整工程量后按八折计入。</t>
  </si>
  <si>
    <r>
      <rPr>
        <b/>
        <sz val="11"/>
        <rFont val="宋体"/>
        <charset val="134"/>
      </rPr>
      <t>专项评价费</t>
    </r>
  </si>
  <si>
    <r>
      <rPr>
        <sz val="11"/>
        <rFont val="宋体"/>
        <charset val="134"/>
      </rPr>
      <t>地质灾害危险性评估费</t>
    </r>
  </si>
  <si>
    <r>
      <rPr>
        <sz val="11"/>
        <rFont val="宋体"/>
        <charset val="134"/>
      </rPr>
      <t>发改办价格〔</t>
    </r>
    <r>
      <rPr>
        <sz val="11"/>
        <rFont val="Times New Roman"/>
        <charset val="134"/>
      </rPr>
      <t>2006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745</t>
    </r>
    <r>
      <rPr>
        <sz val="11"/>
        <rFont val="宋体"/>
        <charset val="134"/>
      </rPr>
      <t>号，暂估，以实际为准。</t>
    </r>
  </si>
  <si>
    <r>
      <rPr>
        <sz val="11"/>
        <rFont val="宋体"/>
        <charset val="134"/>
      </rPr>
      <t>道路安全评价报告</t>
    </r>
  </si>
  <si>
    <r>
      <rPr>
        <sz val="11"/>
        <rFont val="宋体"/>
        <charset val="134"/>
      </rPr>
      <t>合同价。</t>
    </r>
  </si>
  <si>
    <r>
      <rPr>
        <sz val="11"/>
        <rFont val="宋体"/>
        <charset val="134"/>
      </rPr>
      <t>防洪影响评价</t>
    </r>
  </si>
  <si>
    <r>
      <rPr>
        <sz val="11"/>
        <rFont val="宋体"/>
        <charset val="134"/>
      </rPr>
      <t>社会稳定性风险评估报告编制及评估费</t>
    </r>
  </si>
  <si>
    <r>
      <rPr>
        <sz val="11"/>
        <color rgb="FF000000"/>
        <rFont val="宋体"/>
        <charset val="134"/>
      </rPr>
      <t>由征地部门负责，不在本项目计列。</t>
    </r>
  </si>
  <si>
    <r>
      <rPr>
        <sz val="11"/>
        <rFont val="宋体"/>
        <charset val="134"/>
      </rPr>
      <t>物探</t>
    </r>
  </si>
  <si>
    <t>需要补充计算式</t>
  </si>
  <si>
    <r>
      <rPr>
        <sz val="11"/>
        <rFont val="宋体"/>
        <charset val="134"/>
      </rPr>
      <t>竣工财务决算编制费</t>
    </r>
  </si>
  <si>
    <r>
      <rPr>
        <sz val="11"/>
        <rFont val="宋体"/>
        <charset val="134"/>
      </rPr>
      <t>竣工财务决算审查费</t>
    </r>
  </si>
  <si>
    <r>
      <rPr>
        <b/>
        <sz val="11"/>
        <color indexed="8"/>
        <rFont val="宋体"/>
        <charset val="134"/>
      </rPr>
      <t>第一部分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工程费用</t>
    </r>
  </si>
  <si>
    <r>
      <rPr>
        <b/>
        <sz val="11"/>
        <color indexed="8"/>
        <rFont val="宋体"/>
        <charset val="134"/>
      </rPr>
      <t>第二部分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工程建设其他费用</t>
    </r>
  </si>
  <si>
    <r>
      <rPr>
        <b/>
        <sz val="11"/>
        <color rgb="FF000000"/>
        <rFont val="宋体"/>
        <charset val="134"/>
      </rPr>
      <t>预备费</t>
    </r>
    <r>
      <rPr>
        <b/>
        <sz val="11"/>
        <color rgb="FF000000"/>
        <rFont val="Times New Roman"/>
        <charset val="134"/>
      </rPr>
      <t>(A+B)*5%</t>
    </r>
  </si>
  <si>
    <r>
      <rPr>
        <sz val="11"/>
        <rFont val="宋体"/>
        <charset val="134"/>
      </rPr>
      <t>第一、二部分费用之和扣除征地和涉铁费用×</t>
    </r>
    <r>
      <rPr>
        <sz val="11"/>
        <rFont val="Times New Roman"/>
        <charset val="134"/>
      </rPr>
      <t>5%</t>
    </r>
    <r>
      <rPr>
        <sz val="11"/>
        <rFont val="宋体"/>
        <charset val="134"/>
      </rPr>
      <t>。</t>
    </r>
  </si>
  <si>
    <r>
      <rPr>
        <b/>
        <sz val="11"/>
        <color indexed="8"/>
        <rFont val="宋体"/>
        <charset val="134"/>
      </rPr>
      <t>建设投资（</t>
    </r>
    <r>
      <rPr>
        <b/>
        <sz val="11"/>
        <color indexed="8"/>
        <rFont val="Times New Roman"/>
        <charset val="134"/>
      </rPr>
      <t>A+B+C)</t>
    </r>
  </si>
  <si>
    <r>
      <rPr>
        <b/>
        <sz val="11"/>
        <color indexed="8"/>
        <rFont val="宋体"/>
        <charset val="134"/>
      </rPr>
      <t>建设期贷款利息</t>
    </r>
  </si>
  <si>
    <t>政府投资，不计利息。</t>
  </si>
  <si>
    <r>
      <rPr>
        <b/>
        <sz val="11"/>
        <color indexed="8"/>
        <rFont val="宋体"/>
        <charset val="134"/>
      </rPr>
      <t>建设项目总投资</t>
    </r>
  </si>
  <si>
    <t>三亚市中心城区供水保障能力提升工程（一期）概算审核对比表</t>
  </si>
  <si>
    <r>
      <rPr>
        <b/>
        <sz val="10"/>
        <color theme="1"/>
        <rFont val="宋体"/>
        <charset val="134"/>
      </rPr>
      <t>修编版金额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万元</t>
    </r>
    <r>
      <rPr>
        <b/>
        <sz val="10"/>
        <color theme="1"/>
        <rFont val="Times New Roman"/>
        <charset val="134"/>
      </rPr>
      <t>)</t>
    </r>
  </si>
  <si>
    <t>审定金额（万元）</t>
  </si>
  <si>
    <r>
      <rPr>
        <b/>
        <sz val="10"/>
        <color theme="1"/>
        <rFont val="宋体"/>
        <charset val="134"/>
      </rPr>
      <t>核增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减额（审定</t>
    </r>
    <r>
      <rPr>
        <b/>
        <sz val="10"/>
        <color theme="1"/>
        <rFont val="Times New Roman"/>
        <charset val="134"/>
      </rPr>
      <t>-</t>
    </r>
    <r>
      <rPr>
        <b/>
        <sz val="10"/>
        <color theme="1"/>
        <rFont val="宋体"/>
        <charset val="134"/>
      </rPr>
      <t>修编版）（万元）</t>
    </r>
  </si>
  <si>
    <r>
      <rPr>
        <b/>
        <sz val="10"/>
        <color theme="1"/>
        <rFont val="宋体"/>
        <charset val="134"/>
      </rPr>
      <t>核增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减率（</t>
    </r>
    <r>
      <rPr>
        <b/>
        <sz val="10"/>
        <color theme="1"/>
        <rFont val="Times New Roman"/>
        <charset val="134"/>
      </rPr>
      <t>%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</si>
  <si>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indexed="8"/>
        <rFont val="宋体"/>
        <charset val="134"/>
      </rPr>
      <t>第一部分</t>
    </r>
    <r>
      <rPr>
        <b/>
        <sz val="10"/>
        <color indexed="8"/>
        <rFont val="Times New Roman"/>
        <charset val="134"/>
      </rPr>
      <t xml:space="preserve">  </t>
    </r>
    <r>
      <rPr>
        <b/>
        <sz val="10"/>
        <color indexed="8"/>
        <rFont val="宋体"/>
        <charset val="134"/>
      </rPr>
      <t>工程费用</t>
    </r>
  </si>
  <si>
    <r>
      <rPr>
        <sz val="10"/>
        <color indexed="8"/>
        <rFont val="宋体"/>
        <charset val="134"/>
      </rPr>
      <t>鹿城大道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落笔洞路</t>
    </r>
  </si>
  <si>
    <r>
      <rPr>
        <sz val="10"/>
        <color indexed="8"/>
        <rFont val="宋体"/>
        <charset val="134"/>
      </rPr>
      <t>加压泵站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土建</t>
    </r>
  </si>
  <si>
    <r>
      <rPr>
        <sz val="10"/>
        <color indexed="8"/>
        <rFont val="宋体"/>
        <charset val="134"/>
      </rPr>
      <t>加压泵站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电气</t>
    </r>
  </si>
  <si>
    <r>
      <rPr>
        <sz val="10"/>
        <color indexed="8"/>
        <rFont val="宋体"/>
        <charset val="134"/>
      </rPr>
      <t>鹿城大道（清华路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育新路）供水管道</t>
    </r>
  </si>
  <si>
    <r>
      <rPr>
        <sz val="10"/>
        <color indexed="8"/>
        <rFont val="宋体"/>
        <charset val="134"/>
      </rPr>
      <t>鹿城大道（桶西路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清华路段）供水管道</t>
    </r>
  </si>
  <si>
    <r>
      <rPr>
        <b/>
        <sz val="10"/>
        <rFont val="宋体"/>
        <charset val="134"/>
      </rPr>
      <t>第二部分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工程建设其它费用</t>
    </r>
  </si>
  <si>
    <t>核减新联出口路（环岛高速段）用地。</t>
  </si>
  <si>
    <t>依据设计说明核减。</t>
  </si>
  <si>
    <r>
      <rPr>
        <sz val="10"/>
        <rFont val="宋体"/>
        <charset val="134"/>
      </rPr>
      <t>财建〔</t>
    </r>
    <r>
      <rPr>
        <sz val="10"/>
        <rFont val="Times New Roman"/>
        <charset val="134"/>
      </rPr>
      <t>2016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504</t>
    </r>
    <r>
      <rPr>
        <sz val="10"/>
        <rFont val="宋体"/>
        <charset val="134"/>
      </rPr>
      <t>号。</t>
    </r>
  </si>
  <si>
    <r>
      <rPr>
        <sz val="10"/>
        <rFont val="宋体"/>
        <charset val="134"/>
      </rPr>
      <t>计价格〔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1980</t>
    </r>
    <r>
      <rPr>
        <sz val="10"/>
        <rFont val="宋体"/>
        <charset val="134"/>
      </rPr>
      <t>号，八折计取。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</si>
  <si>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</si>
  <si>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招标代理服务费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工程招标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</si>
  <si>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）</t>
    </r>
  </si>
  <si>
    <r>
      <rPr>
        <sz val="10"/>
        <rFont val="宋体"/>
        <charset val="134"/>
      </rPr>
      <t>招标代理服务费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勘察测量服务招标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</si>
  <si>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</si>
  <si>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招标代理服务费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设计服务招标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</si>
  <si>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4</t>
    </r>
    <r>
      <rPr>
        <sz val="10"/>
        <rFont val="宋体"/>
        <charset val="0"/>
      </rPr>
      <t>）</t>
    </r>
  </si>
  <si>
    <r>
      <rPr>
        <sz val="10"/>
        <rFont val="宋体"/>
        <charset val="134"/>
      </rPr>
      <t>招标代理服务费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监理服务招标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</si>
  <si>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</si>
  <si>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</si>
  <si>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琼价协〔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号，八折计取。</t>
    </r>
  </si>
  <si>
    <r>
      <rPr>
        <sz val="10"/>
        <rFont val="宋体"/>
        <charset val="134"/>
      </rPr>
      <t>已签订合同为</t>
    </r>
    <r>
      <rPr>
        <sz val="10"/>
        <rFont val="Times New Roman"/>
        <charset val="134"/>
      </rPr>
      <t>1800</t>
    </r>
    <r>
      <rPr>
        <sz val="10"/>
        <rFont val="宋体"/>
        <charset val="134"/>
      </rPr>
      <t>米，鹿城大道和涉铁段内容进行补勘，增加钻孔进尺</t>
    </r>
    <r>
      <rPr>
        <sz val="10"/>
        <rFont val="Times New Roman"/>
        <charset val="134"/>
      </rPr>
      <t>276</t>
    </r>
    <r>
      <rPr>
        <sz val="10"/>
        <rFont val="宋体"/>
        <charset val="134"/>
      </rPr>
      <t>米，总进尺</t>
    </r>
    <r>
      <rPr>
        <sz val="10"/>
        <rFont val="Times New Roman"/>
        <charset val="134"/>
      </rPr>
      <t>2076</t>
    </r>
    <r>
      <rPr>
        <sz val="10"/>
        <rFont val="宋体"/>
        <charset val="134"/>
      </rPr>
      <t>米。</t>
    </r>
  </si>
  <si>
    <r>
      <rPr>
        <sz val="10"/>
        <rFont val="宋体"/>
        <charset val="134"/>
      </rPr>
      <t>合同价：</t>
    </r>
    <r>
      <rPr>
        <sz val="10"/>
        <rFont val="Times New Roman"/>
        <charset val="134"/>
      </rPr>
      <t>3471303.00</t>
    </r>
    <r>
      <rPr>
        <sz val="10"/>
        <rFont val="宋体"/>
        <charset val="134"/>
      </rPr>
      <t>元。</t>
    </r>
  </si>
  <si>
    <r>
      <rPr>
        <sz val="10"/>
        <rFont val="宋体"/>
        <charset val="134"/>
      </rPr>
      <t>计价格〔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125</t>
    </r>
    <r>
      <rPr>
        <sz val="10"/>
        <rFont val="宋体"/>
        <charset val="134"/>
      </rPr>
      <t>号。</t>
    </r>
  </si>
  <si>
    <r>
      <rPr>
        <sz val="10"/>
        <rFont val="宋体"/>
        <charset val="134"/>
      </rPr>
      <t>水保监〔</t>
    </r>
    <r>
      <rPr>
        <sz val="10"/>
        <rFont val="Times New Roman"/>
        <charset val="134"/>
      </rPr>
      <t>2005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五折计取。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</si>
  <si>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</si>
  <si>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</si>
  <si>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水保监〔</t>
    </r>
    <r>
      <rPr>
        <sz val="10"/>
        <rFont val="Times New Roman"/>
        <charset val="134"/>
      </rPr>
      <t>2005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号。</t>
    </r>
  </si>
  <si>
    <r>
      <rPr>
        <sz val="10"/>
        <rFont val="宋体"/>
        <charset val="134"/>
      </rPr>
      <t>暂估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以实际为准。</t>
    </r>
  </si>
  <si>
    <r>
      <rPr>
        <b/>
        <sz val="10"/>
        <rFont val="宋体"/>
        <charset val="134"/>
      </rPr>
      <t>场地准备及临时设施费</t>
    </r>
    <r>
      <rPr>
        <b/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</si>
  <si>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工程费用×</t>
    </r>
    <r>
      <rPr>
        <sz val="10"/>
        <rFont val="Times New Roman"/>
        <charset val="134"/>
      </rPr>
      <t>0.5%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</si>
  <si>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工程费用×</t>
    </r>
    <r>
      <rPr>
        <sz val="10"/>
        <rFont val="Times New Roman"/>
        <charset val="134"/>
      </rPr>
      <t>0.3%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</si>
  <si>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涉铁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处，详见估算附件。</t>
    </r>
  </si>
  <si>
    <r>
      <rPr>
        <sz val="10"/>
        <rFont val="宋体"/>
        <charset val="134"/>
      </rPr>
      <t>暂按工程费用</t>
    </r>
    <r>
      <rPr>
        <sz val="10"/>
        <rFont val="Times New Roman"/>
        <charset val="134"/>
      </rPr>
      <t>0.7%</t>
    </r>
    <r>
      <rPr>
        <sz val="10"/>
        <rFont val="宋体"/>
        <charset val="134"/>
      </rPr>
      <t>后八折计入。</t>
    </r>
  </si>
  <si>
    <r>
      <rPr>
        <sz val="10"/>
        <rFont val="宋体"/>
        <charset val="134"/>
      </rPr>
      <t>琼价审批</t>
    </r>
    <r>
      <rPr>
        <sz val="10"/>
        <rFont val="Times New Roman"/>
        <charset val="134"/>
      </rPr>
      <t>2010</t>
    </r>
    <r>
      <rPr>
        <sz val="10"/>
        <rFont val="宋体"/>
        <charset val="134"/>
      </rPr>
      <t>〔</t>
    </r>
    <r>
      <rPr>
        <sz val="10"/>
        <rFont val="Times New Roman"/>
        <charset val="134"/>
      </rPr>
      <t>397</t>
    </r>
    <r>
      <rPr>
        <sz val="10"/>
        <rFont val="宋体"/>
        <charset val="134"/>
      </rPr>
      <t>〕。</t>
    </r>
  </si>
  <si>
    <r>
      <rPr>
        <sz val="10"/>
        <rFont val="宋体"/>
        <charset val="134"/>
      </rPr>
      <t>发改办价格〔</t>
    </r>
    <r>
      <rPr>
        <sz val="10"/>
        <rFont val="Times New Roman"/>
        <charset val="134"/>
      </rPr>
      <t>2006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745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暂估，以实际为准。</t>
    </r>
  </si>
  <si>
    <t>由征地部门负责，不在本项目计列。</t>
  </si>
  <si>
    <t>竣工财务决算编制费</t>
  </si>
  <si>
    <t>竣工财务决算审查费</t>
  </si>
  <si>
    <r>
      <rPr>
        <b/>
        <sz val="10"/>
        <color indexed="8"/>
        <rFont val="宋体"/>
        <charset val="134"/>
      </rPr>
      <t>第一部分</t>
    </r>
    <r>
      <rPr>
        <b/>
        <sz val="10"/>
        <color indexed="8"/>
        <rFont val="Times New Roman"/>
        <charset val="134"/>
      </rPr>
      <t xml:space="preserve"> </t>
    </r>
    <r>
      <rPr>
        <b/>
        <sz val="10"/>
        <color indexed="8"/>
        <rFont val="宋体"/>
        <charset val="134"/>
      </rPr>
      <t>工程费用</t>
    </r>
  </si>
  <si>
    <r>
      <rPr>
        <b/>
        <sz val="10"/>
        <color indexed="8"/>
        <rFont val="宋体"/>
        <charset val="134"/>
      </rPr>
      <t>第二部分</t>
    </r>
    <r>
      <rPr>
        <b/>
        <sz val="10"/>
        <color indexed="8"/>
        <rFont val="Times New Roman"/>
        <charset val="134"/>
      </rPr>
      <t xml:space="preserve"> </t>
    </r>
    <r>
      <rPr>
        <b/>
        <sz val="10"/>
        <color indexed="8"/>
        <rFont val="宋体"/>
        <charset val="134"/>
      </rPr>
      <t>工程建设其他费用</t>
    </r>
  </si>
  <si>
    <r>
      <rPr>
        <b/>
        <sz val="10"/>
        <color rgb="FF000000"/>
        <rFont val="宋体"/>
        <charset val="134"/>
      </rPr>
      <t>预备费</t>
    </r>
    <r>
      <rPr>
        <b/>
        <sz val="10"/>
        <color rgb="FF000000"/>
        <rFont val="Times New Roman"/>
        <charset val="134"/>
      </rPr>
      <t>(A+B)*5%</t>
    </r>
  </si>
  <si>
    <r>
      <rPr>
        <sz val="10"/>
        <rFont val="宋体"/>
        <charset val="134"/>
      </rPr>
      <t>第一、二部分费用之和扣除征地和涉铁费用×</t>
    </r>
    <r>
      <rPr>
        <sz val="10"/>
        <rFont val="Times New Roman"/>
        <charset val="134"/>
      </rPr>
      <t>5%</t>
    </r>
    <r>
      <rPr>
        <sz val="10"/>
        <rFont val="宋体"/>
        <charset val="134"/>
      </rPr>
      <t>。</t>
    </r>
  </si>
  <si>
    <r>
      <rPr>
        <b/>
        <sz val="10"/>
        <color indexed="8"/>
        <rFont val="宋体"/>
        <charset val="134"/>
      </rPr>
      <t>建设投资（</t>
    </r>
    <r>
      <rPr>
        <b/>
        <sz val="10"/>
        <color indexed="8"/>
        <rFont val="Times New Roman"/>
        <charset val="134"/>
      </rPr>
      <t>A+B+C)</t>
    </r>
  </si>
  <si>
    <t>投资估算表</t>
  </si>
  <si>
    <t>项目名称：三亚市中心城区供水保障能力提升工程（一期）输水管道下穿铁路工程</t>
  </si>
  <si>
    <t>编号</t>
  </si>
  <si>
    <t>项目名称</t>
  </si>
  <si>
    <t>修编报送</t>
  </si>
  <si>
    <t>审定</t>
  </si>
  <si>
    <t>审定-修编报送</t>
  </si>
  <si>
    <t>单价（万元）</t>
  </si>
  <si>
    <t>工程造价     (万元)</t>
  </si>
  <si>
    <t>第一部分 建筑安装工程费用</t>
  </si>
  <si>
    <t>万元</t>
  </si>
  <si>
    <t>顶管工作井</t>
  </si>
  <si>
    <t>暂按送审金额计入。</t>
  </si>
  <si>
    <t>顶管接收井</t>
  </si>
  <si>
    <t>圆管护涵顶进（管径1200mm）</t>
  </si>
  <si>
    <t>评估按3月4日报送单价计入。</t>
  </si>
  <si>
    <t>施工监测</t>
  </si>
  <si>
    <t>股道</t>
  </si>
  <si>
    <t>应急抢险准备</t>
  </si>
  <si>
    <t>项</t>
  </si>
  <si>
    <t>施工完毕后线路大修养护</t>
  </si>
  <si>
    <t>施工期间限速，施工完毕进行线路大修后方可恢复常速</t>
  </si>
  <si>
    <t>视频监控系统</t>
  </si>
  <si>
    <t>涉铁相关费用</t>
  </si>
  <si>
    <t>代建管理费</t>
  </si>
  <si>
    <t>财建〔2016〕504号</t>
  </si>
  <si>
    <t>技术服务费</t>
  </si>
  <si>
    <t>广铁科信发〔2024〕46 号，建安工程费5%计入。</t>
  </si>
  <si>
    <t>施工图及施工方案审查费</t>
  </si>
  <si>
    <t>参考相关案例，最终以实际发生为准。</t>
  </si>
  <si>
    <t>铁路运输损失补偿费</t>
  </si>
  <si>
    <t>暂按送审金额计入，最终以实际发生为准。</t>
  </si>
  <si>
    <t>铁路设备安全监控费</t>
  </si>
  <si>
    <t>铁路施工安全配合费</t>
  </si>
  <si>
    <t>护涵移交工务维修及养护</t>
  </si>
  <si>
    <t>站段代维管理费</t>
  </si>
  <si>
    <t>占用铁路用地补偿</t>
  </si>
  <si>
    <t>工程监理费</t>
  </si>
  <si>
    <t>发改价格[2007]670号，八折计取。</t>
  </si>
  <si>
    <t>勘察设计费</t>
  </si>
  <si>
    <t>2.2.1</t>
  </si>
  <si>
    <t>设计费</t>
  </si>
  <si>
    <t>暂估，最终以实际发生为准。</t>
  </si>
  <si>
    <t>2.2.2</t>
  </si>
  <si>
    <t>资料收集费</t>
  </si>
  <si>
    <t>2.2.3</t>
  </si>
  <si>
    <t>地质物探费</t>
  </si>
  <si>
    <t>2.2.4</t>
  </si>
  <si>
    <t>铁路评审费</t>
  </si>
  <si>
    <t>工程费用×0.3%。</t>
  </si>
  <si>
    <t>场地准备费及临时设施费</t>
  </si>
  <si>
    <t>工程费用×0.5%。</t>
  </si>
  <si>
    <t>检验监测费</t>
  </si>
  <si>
    <t>按第一部分费用1%计取。</t>
  </si>
  <si>
    <t>铁路第三方安全评估费</t>
  </si>
  <si>
    <t>暂按工程费用0.7%后八折计入。</t>
  </si>
  <si>
    <t>劳动安全卫生评审费</t>
  </si>
  <si>
    <t>参照建标[2007]164号，工程费*0.3%</t>
  </si>
  <si>
    <t>环保验收费用</t>
  </si>
  <si>
    <t>暂估列。</t>
  </si>
  <si>
    <t>工程量清单及清单计价编制费</t>
  </si>
  <si>
    <t>琼价协[2020]01号，八折计取。</t>
  </si>
  <si>
    <t>工程结算审核费</t>
  </si>
  <si>
    <t>施工阶段全过程造价控制费</t>
  </si>
  <si>
    <t>不发生</t>
  </si>
  <si>
    <t>第一、二部分费用合计</t>
  </si>
  <si>
    <t>预备费</t>
  </si>
  <si>
    <t>按第一、二部分费用之和8%计取。</t>
  </si>
  <si>
    <t>总投资</t>
  </si>
  <si>
    <t>备注：（1）本项目为输水管道提供下穿铁路防护通道，投资估算不包含防护通道内输水管道，由总体设计单位统一考虑；（2）本投资估算对应的输水管道路由不涉及下穿西环货线，仅下穿既有环岛高铁西段2股道；（3）目前暂时缺少海南环岛高铁西段地质情况，方案可行性待核实。</t>
  </si>
  <si>
    <t>每座工作井或接收井</t>
  </si>
  <si>
    <r>
      <rPr>
        <sz val="14"/>
        <rFont val="SimSun"/>
        <charset val="134"/>
      </rPr>
      <t>序号</t>
    </r>
  </si>
  <si>
    <r>
      <rPr>
        <sz val="14"/>
        <rFont val="SimSun"/>
        <charset val="134"/>
      </rPr>
      <t>项目</t>
    </r>
  </si>
  <si>
    <r>
      <rPr>
        <sz val="14"/>
        <rFont val="SimSun"/>
        <charset val="134"/>
      </rPr>
      <t xml:space="preserve">点数(个
</t>
    </r>
    <r>
      <rPr>
        <sz val="14"/>
        <rFont val="SimSun"/>
        <charset val="134"/>
      </rPr>
      <t>或孔)</t>
    </r>
  </si>
  <si>
    <r>
      <rPr>
        <sz val="14"/>
        <rFont val="SimSun"/>
        <charset val="134"/>
      </rPr>
      <t>材料、安装费</t>
    </r>
  </si>
  <si>
    <r>
      <rPr>
        <sz val="14"/>
        <rFont val="SimSun"/>
        <charset val="134"/>
      </rPr>
      <t>监测费</t>
    </r>
  </si>
  <si>
    <r>
      <rPr>
        <sz val="14"/>
        <rFont val="SimSun"/>
        <charset val="134"/>
      </rPr>
      <t>备注</t>
    </r>
  </si>
  <si>
    <r>
      <rPr>
        <sz val="14"/>
        <rFont val="SimSun"/>
        <charset val="134"/>
      </rPr>
      <t xml:space="preserve">综合单价
</t>
    </r>
    <r>
      <rPr>
        <sz val="14"/>
        <rFont val="SimSun"/>
        <charset val="134"/>
      </rPr>
      <t>(元/个)</t>
    </r>
  </si>
  <si>
    <r>
      <rPr>
        <sz val="14"/>
        <rFont val="SimSun"/>
        <charset val="134"/>
      </rPr>
      <t xml:space="preserve">单项总价
</t>
    </r>
    <r>
      <rPr>
        <sz val="14"/>
        <rFont val="SimSun"/>
        <charset val="134"/>
      </rPr>
      <t>(元)</t>
    </r>
  </si>
  <si>
    <r>
      <rPr>
        <sz val="14"/>
        <color rgb="FF000000"/>
        <rFont val="宋体"/>
        <charset val="134"/>
      </rPr>
      <t>点数</t>
    </r>
    <r>
      <rPr>
        <sz val="14"/>
        <color rgb="FF000000"/>
        <rFont val="Arial"/>
        <charset val="134"/>
      </rPr>
      <t>(</t>
    </r>
    <r>
      <rPr>
        <sz val="14"/>
        <color rgb="FF000000"/>
        <rFont val="宋体"/>
        <charset val="134"/>
      </rPr>
      <t>个</t>
    </r>
    <r>
      <rPr>
        <sz val="14"/>
        <color rgb="FF000000"/>
        <rFont val="Arial"/>
        <charset val="134"/>
      </rPr>
      <t xml:space="preserve">
</t>
    </r>
    <r>
      <rPr>
        <sz val="14"/>
        <color rgb="FF000000"/>
        <rFont val="宋体"/>
        <charset val="134"/>
      </rPr>
      <t>或孔</t>
    </r>
    <r>
      <rPr>
        <sz val="14"/>
        <color rgb="FF000000"/>
        <rFont val="Arial"/>
        <charset val="134"/>
      </rPr>
      <t>)</t>
    </r>
  </si>
  <si>
    <r>
      <rPr>
        <sz val="14"/>
        <rFont val="SimSun"/>
        <charset val="134"/>
      </rPr>
      <t>次数</t>
    </r>
  </si>
  <si>
    <r>
      <rPr>
        <sz val="14"/>
        <rFont val="SimSun"/>
        <charset val="134"/>
      </rPr>
      <t xml:space="preserve">综合单价
</t>
    </r>
    <r>
      <rPr>
        <sz val="14"/>
        <rFont val="SimSun"/>
        <charset val="134"/>
      </rPr>
      <t>（元）</t>
    </r>
  </si>
  <si>
    <r>
      <rPr>
        <sz val="14"/>
        <rFont val="SimSun"/>
        <charset val="134"/>
      </rPr>
      <t>单位</t>
    </r>
  </si>
  <si>
    <r>
      <rPr>
        <sz val="14"/>
        <rFont val="SimSun"/>
        <charset val="134"/>
      </rPr>
      <t>单项总价（元）</t>
    </r>
  </si>
  <si>
    <r>
      <rPr>
        <sz val="12"/>
        <rFont val="SimSun"/>
        <charset val="134"/>
      </rPr>
      <t>一</t>
    </r>
  </si>
  <si>
    <r>
      <rPr>
        <sz val="12"/>
        <rFont val="SimSun"/>
        <charset val="134"/>
      </rPr>
      <t>水平位移基准网</t>
    </r>
  </si>
  <si>
    <r>
      <rPr>
        <sz val="12"/>
        <rFont val="SimSun"/>
        <charset val="134"/>
      </rPr>
      <t>点*次</t>
    </r>
  </si>
  <si>
    <r>
      <rPr>
        <sz val="12"/>
        <rFont val="SimSun"/>
        <charset val="134"/>
      </rPr>
      <t>二</t>
    </r>
  </si>
  <si>
    <r>
      <rPr>
        <sz val="12"/>
        <rFont val="SimSun"/>
        <charset val="134"/>
      </rPr>
      <t>竖向位移基准网</t>
    </r>
  </si>
  <si>
    <r>
      <rPr>
        <sz val="12"/>
        <rFont val="SimSun"/>
        <charset val="134"/>
      </rPr>
      <t>公里*次</t>
    </r>
  </si>
  <si>
    <r>
      <rPr>
        <sz val="12"/>
        <rFont val="SimSun"/>
        <charset val="134"/>
      </rPr>
      <t>三</t>
    </r>
  </si>
  <si>
    <r>
      <rPr>
        <sz val="12"/>
        <rFont val="SimSun"/>
        <charset val="134"/>
      </rPr>
      <t>支护结构顶部水平位移</t>
    </r>
  </si>
  <si>
    <r>
      <rPr>
        <sz val="12"/>
        <rFont val="SimSun"/>
        <charset val="134"/>
      </rPr>
      <t>四</t>
    </r>
  </si>
  <si>
    <r>
      <rPr>
        <sz val="12"/>
        <rFont val="SimSun"/>
        <charset val="134"/>
      </rPr>
      <t>支护结构顶部竖向位移</t>
    </r>
  </si>
  <si>
    <r>
      <rPr>
        <sz val="12"/>
        <rFont val="SimSun"/>
        <charset val="134"/>
      </rPr>
      <t>五</t>
    </r>
  </si>
  <si>
    <r>
      <rPr>
        <sz val="12"/>
        <rFont val="SimSun"/>
        <charset val="134"/>
      </rPr>
      <t>周边地表沉降</t>
    </r>
  </si>
  <si>
    <r>
      <rPr>
        <sz val="12"/>
        <rFont val="SimSun"/>
        <charset val="134"/>
      </rPr>
      <t>六</t>
    </r>
  </si>
  <si>
    <r>
      <rPr>
        <sz val="12"/>
        <rFont val="SimSun"/>
        <charset val="134"/>
      </rPr>
      <t>周边建筑沉降</t>
    </r>
  </si>
  <si>
    <r>
      <rPr>
        <sz val="12"/>
        <rFont val="SimSun"/>
        <charset val="134"/>
      </rPr>
      <t>七</t>
    </r>
  </si>
  <si>
    <r>
      <rPr>
        <sz val="12"/>
        <rFont val="SimSun"/>
        <charset val="134"/>
      </rPr>
      <t>周边道路</t>
    </r>
  </si>
  <si>
    <r>
      <rPr>
        <sz val="12"/>
        <rFont val="SimSun"/>
        <charset val="134"/>
      </rPr>
      <t>八</t>
    </r>
  </si>
  <si>
    <r>
      <rPr>
        <sz val="12"/>
        <rFont val="SimSun"/>
        <charset val="134"/>
      </rPr>
      <t>管线沉降</t>
    </r>
  </si>
  <si>
    <r>
      <rPr>
        <sz val="12"/>
        <rFont val="SimSun"/>
        <charset val="134"/>
      </rPr>
      <t>九</t>
    </r>
  </si>
  <si>
    <r>
      <rPr>
        <sz val="12"/>
        <rFont val="SimSun"/>
        <charset val="134"/>
      </rPr>
      <t>地下水位</t>
    </r>
  </si>
  <si>
    <r>
      <rPr>
        <sz val="12"/>
        <rFont val="SimSun"/>
        <charset val="134"/>
      </rPr>
      <t>十</t>
    </r>
  </si>
  <si>
    <r>
      <rPr>
        <sz val="12"/>
        <rFont val="SimSun"/>
        <charset val="134"/>
      </rPr>
      <t>深层水平位移</t>
    </r>
  </si>
  <si>
    <r>
      <rPr>
        <sz val="12"/>
        <rFont val="SimSun"/>
        <charset val="134"/>
      </rPr>
      <t>十一</t>
    </r>
  </si>
  <si>
    <r>
      <rPr>
        <sz val="12"/>
        <rFont val="SimSun"/>
        <charset val="134"/>
      </rPr>
      <t>支撑内力</t>
    </r>
  </si>
  <si>
    <r>
      <rPr>
        <sz val="12"/>
        <rFont val="SimSun"/>
        <charset val="134"/>
      </rPr>
      <t>十二</t>
    </r>
  </si>
  <si>
    <r>
      <rPr>
        <b/>
        <sz val="12"/>
        <rFont val="SimSun"/>
        <charset val="134"/>
      </rPr>
      <t>小计</t>
    </r>
  </si>
  <si>
    <r>
      <rPr>
        <sz val="12"/>
        <rFont val="SimSun"/>
        <charset val="134"/>
      </rPr>
      <t>十三</t>
    </r>
  </si>
  <si>
    <r>
      <rPr>
        <b/>
        <sz val="12"/>
        <rFont val="SimSun"/>
        <charset val="134"/>
      </rPr>
      <t>合计</t>
    </r>
  </si>
  <si>
    <r>
      <rPr>
        <sz val="12"/>
        <rFont val="SimSun"/>
        <charset val="134"/>
      </rPr>
      <t>材料、安装费+监测费</t>
    </r>
  </si>
  <si>
    <r>
      <rPr>
        <sz val="12"/>
        <rFont val="SimSun"/>
        <charset val="134"/>
      </rPr>
      <t>十四</t>
    </r>
  </si>
  <si>
    <r>
      <rPr>
        <sz val="12"/>
        <rFont val="SimSun"/>
        <charset val="134"/>
      </rPr>
      <t>技术工作费</t>
    </r>
  </si>
  <si>
    <r>
      <rPr>
        <sz val="12"/>
        <rFont val="SimSun"/>
        <charset val="134"/>
      </rPr>
      <t>合计×22%</t>
    </r>
  </si>
  <si>
    <r>
      <rPr>
        <sz val="12"/>
        <rFont val="SimSun"/>
        <charset val="134"/>
      </rPr>
      <t>十五</t>
    </r>
  </si>
  <si>
    <r>
      <rPr>
        <sz val="12"/>
        <rFont val="SimSun"/>
        <charset val="134"/>
      </rPr>
      <t>税金</t>
    </r>
  </si>
  <si>
    <r>
      <rPr>
        <sz val="12"/>
        <rFont val="SimSun"/>
        <charset val="134"/>
      </rPr>
      <t>（十三+十四） ×6%</t>
    </r>
  </si>
  <si>
    <r>
      <rPr>
        <sz val="12"/>
        <rFont val="SimSun"/>
        <charset val="134"/>
      </rPr>
      <t>十六</t>
    </r>
  </si>
  <si>
    <r>
      <rPr>
        <b/>
        <sz val="12"/>
        <rFont val="SimSun"/>
        <charset val="134"/>
      </rPr>
      <t>总费用</t>
    </r>
  </si>
  <si>
    <r>
      <rPr>
        <sz val="12"/>
        <rFont val="SimSun"/>
        <charset val="134"/>
      </rPr>
      <t>十三+十四+十五</t>
    </r>
  </si>
  <si>
    <t>最终优惠后报价（下浮50%）</t>
  </si>
  <si>
    <r>
      <rPr>
        <b/>
        <sz val="12"/>
        <color rgb="FF000000"/>
        <rFont val="宋体"/>
        <charset val="134"/>
      </rPr>
      <t>22</t>
    </r>
    <r>
      <rPr>
        <b/>
        <sz val="11"/>
        <color rgb="FF000000"/>
        <rFont val="宋体"/>
        <charset val="134"/>
      </rPr>
      <t>座井合计</t>
    </r>
  </si>
  <si>
    <r>
      <rPr>
        <sz val="11"/>
        <color rgb="FF000000"/>
        <rFont val="Arial"/>
        <charset val="204"/>
      </rPr>
      <t>20</t>
    </r>
    <r>
      <rPr>
        <sz val="11"/>
        <color rgb="FF000000"/>
        <rFont val="宋体"/>
        <charset val="204"/>
      </rPr>
      <t>座</t>
    </r>
  </si>
  <si>
    <r>
      <rPr>
        <b/>
        <sz val="11"/>
        <color rgb="FFFF0000"/>
        <rFont val="宋体"/>
        <charset val="204"/>
      </rPr>
      <t>注：现在一标段和二标段总共</t>
    </r>
    <r>
      <rPr>
        <b/>
        <sz val="11"/>
        <color rgb="FFFF0000"/>
        <rFont val="Arial"/>
        <charset val="204"/>
      </rPr>
      <t>10</t>
    </r>
    <r>
      <rPr>
        <b/>
        <sz val="11"/>
        <color rgb="FFFF0000"/>
        <rFont val="宋体"/>
        <charset val="204"/>
      </rPr>
      <t>座工作井，</t>
    </r>
    <r>
      <rPr>
        <b/>
        <sz val="11"/>
        <color rgb="FFFF0000"/>
        <rFont val="Arial"/>
        <charset val="204"/>
      </rPr>
      <t>12</t>
    </r>
    <r>
      <rPr>
        <b/>
        <sz val="11"/>
        <color rgb="FFFF0000"/>
        <rFont val="宋体"/>
        <charset val="204"/>
      </rPr>
      <t>座接收井，共22座。</t>
    </r>
  </si>
  <si>
    <t>建安费（万元）</t>
  </si>
  <si>
    <t>工程建设其他费（万元）</t>
  </si>
  <si>
    <t>预备费（万元）</t>
  </si>
  <si>
    <t>建设期利息（万元）</t>
  </si>
  <si>
    <t>铺底流动资金</t>
  </si>
  <si>
    <t>总投资（万元）</t>
  </si>
  <si>
    <t>投资对比</t>
  </si>
  <si>
    <t>江东水厂扩建</t>
  </si>
  <si>
    <t>滨江东路</t>
  </si>
  <si>
    <t>南渡江过江管</t>
  </si>
  <si>
    <t>滨江西南段</t>
  </si>
  <si>
    <t>椰海大道</t>
  </si>
  <si>
    <t>龙昆路</t>
  </si>
  <si>
    <t>学院路</t>
  </si>
  <si>
    <t>中央大道</t>
  </si>
  <si>
    <t>红城湖延长段</t>
  </si>
  <si>
    <t>国兴大道</t>
  </si>
  <si>
    <t>主城区调水</t>
  </si>
  <si>
    <t>白龙隧道-二东路</t>
  </si>
  <si>
    <t>海甸岛管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</si>
</sst>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DBNum2][$RMB]General;[Red][DBNum2][$RMB]General"/>
    <numFmt numFmtId="177" formatCode="0.00000000000000000E+00"/>
    <numFmt numFmtId="178" formatCode="0.00_ "/>
    <numFmt numFmtId="179" formatCode="0.00_)"/>
    <numFmt numFmtId="180" formatCode="0_ "/>
    <numFmt numFmtId="181" formatCode="0.00_);[Red]\(0.00\)"/>
    <numFmt numFmtId="182" formatCode="0.0_ "/>
    <numFmt numFmtId="183" formatCode="0_);[Red]\(0\)"/>
    <numFmt numFmtId="184" formatCode=";;;"/>
    <numFmt numFmtId="185" formatCode="0.000_ "/>
  </numFmts>
  <fonts count="10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7"/>
      <color rgb="FFFF0000"/>
      <name val="SimSun"/>
      <charset val="134"/>
    </font>
    <font>
      <sz val="11"/>
      <color rgb="FFFF0000"/>
      <name val="Arial"/>
      <charset val="204"/>
    </font>
    <font>
      <sz val="14"/>
      <color rgb="FF000000"/>
      <name val="SimSun"/>
      <charset val="134"/>
    </font>
    <font>
      <sz val="11"/>
      <color rgb="FF000000"/>
      <name val="Arial"/>
      <charset val="204"/>
    </font>
    <font>
      <sz val="14"/>
      <color rgb="FF000000"/>
      <name val="Arial"/>
      <charset val="134"/>
    </font>
    <font>
      <sz val="14"/>
      <color rgb="FF000000"/>
      <name val="宋体"/>
      <charset val="134"/>
    </font>
    <font>
      <sz val="12"/>
      <color rgb="FF000000"/>
      <name val="SimSun"/>
      <charset val="134"/>
    </font>
    <font>
      <sz val="12"/>
      <color rgb="FF000000"/>
      <name val="Arial"/>
      <charset val="134"/>
    </font>
    <font>
      <b/>
      <sz val="12"/>
      <color rgb="FF000000"/>
      <name val="SimSun"/>
      <charset val="134"/>
    </font>
    <font>
      <b/>
      <sz val="12"/>
      <color rgb="FF000000"/>
      <name val="宋体"/>
      <charset val="134"/>
    </font>
    <font>
      <b/>
      <sz val="12"/>
      <color rgb="FF000000"/>
      <name val="Arial"/>
      <charset val="134"/>
    </font>
    <font>
      <b/>
      <sz val="11"/>
      <color rgb="FFFF0000"/>
      <name val="宋体"/>
      <charset val="20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8"/>
      <name val="宋体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b/>
      <sz val="10"/>
      <name val="Times New Roman"/>
      <charset val="134"/>
    </font>
    <font>
      <sz val="10"/>
      <name val="宋体"/>
      <charset val="0"/>
    </font>
    <font>
      <sz val="10"/>
      <name val="Times New Roman"/>
      <charset val="134"/>
    </font>
    <font>
      <sz val="10"/>
      <name val="Times New Roman"/>
      <charset val="0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b/>
      <sz val="11"/>
      <color indexed="8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name val="宋体"/>
      <charset val="0"/>
    </font>
    <font>
      <sz val="9"/>
      <name val="宋体"/>
      <charset val="134"/>
    </font>
    <font>
      <sz val="11"/>
      <name val="宋体"/>
      <charset val="134"/>
    </font>
    <font>
      <b/>
      <u/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b/>
      <sz val="14"/>
      <color indexed="8"/>
      <name val="Times New Roman"/>
      <charset val="134"/>
    </font>
    <font>
      <b/>
      <sz val="14"/>
      <color indexed="8"/>
      <name val="宋体"/>
      <charset val="134"/>
    </font>
    <font>
      <b/>
      <sz val="12"/>
      <color indexed="8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2"/>
      <color rgb="FF000000"/>
      <name val="Times New Roman"/>
      <charset val="134"/>
    </font>
    <font>
      <b/>
      <sz val="12"/>
      <color theme="1"/>
      <name val="宋体"/>
      <charset val="134"/>
    </font>
    <font>
      <sz val="14"/>
      <color indexed="8"/>
      <name val="Times New Roman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b/>
      <sz val="12"/>
      <color indexed="8"/>
      <name val="宋体"/>
      <charset val="134"/>
    </font>
    <font>
      <b/>
      <u/>
      <sz val="12"/>
      <color indexed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Courier"/>
      <charset val="134"/>
    </font>
    <font>
      <sz val="9"/>
      <color theme="1"/>
      <name val="宋体"/>
      <charset val="134"/>
      <scheme val="minor"/>
    </font>
    <font>
      <sz val="14"/>
      <name val="SimSun"/>
      <charset val="134"/>
    </font>
    <font>
      <sz val="12"/>
      <name val="SimSun"/>
      <charset val="134"/>
    </font>
    <font>
      <b/>
      <sz val="12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204"/>
    </font>
    <font>
      <b/>
      <sz val="11"/>
      <color rgb="FFFF0000"/>
      <name val="Arial"/>
      <charset val="20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b/>
      <sz val="11"/>
      <color indexed="8"/>
      <name val="宋体"/>
      <charset val="134"/>
    </font>
    <font>
      <b/>
      <sz val="12"/>
      <color rgb="FF000000"/>
      <name val="Times New Roman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4" fillId="1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4" borderId="28" applyNumberFormat="0" applyFon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0"/>
    <xf numFmtId="0" fontId="72" fillId="0" borderId="0" applyNumberFormat="0" applyFill="0" applyBorder="0" applyAlignment="0" applyProtection="0">
      <alignment vertical="center"/>
    </xf>
    <xf numFmtId="0" fontId="15" fillId="0" borderId="0"/>
    <xf numFmtId="0" fontId="81" fillId="0" borderId="30" applyNumberFormat="0" applyFill="0" applyAlignment="0" applyProtection="0">
      <alignment vertical="center"/>
    </xf>
    <xf numFmtId="0" fontId="15" fillId="0" borderId="0"/>
    <xf numFmtId="0" fontId="89" fillId="0" borderId="30" applyNumberFormat="0" applyFill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8" fillId="21" borderId="27" applyNumberFormat="0" applyAlignment="0" applyProtection="0">
      <alignment vertical="center"/>
    </xf>
    <xf numFmtId="0" fontId="84" fillId="21" borderId="25" applyNumberFormat="0" applyAlignment="0" applyProtection="0">
      <alignment vertical="center"/>
    </xf>
    <xf numFmtId="0" fontId="15" fillId="0" borderId="0"/>
    <xf numFmtId="0" fontId="86" fillId="32" borderId="31" applyNumberFormat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15" fillId="0" borderId="0"/>
    <xf numFmtId="0" fontId="82" fillId="28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60" fillId="0" borderId="0"/>
    <xf numFmtId="0" fontId="15" fillId="0" borderId="0"/>
    <xf numFmtId="0" fontId="71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179" fontId="90" fillId="0" borderId="0"/>
    <xf numFmtId="0" fontId="71" fillId="12" borderId="0" applyNumberFormat="0" applyBorder="0" applyAlignment="0" applyProtection="0">
      <alignment vertical="center"/>
    </xf>
    <xf numFmtId="0" fontId="15" fillId="0" borderId="0"/>
    <xf numFmtId="0" fontId="75" fillId="2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15" fillId="0" borderId="0"/>
    <xf numFmtId="0" fontId="8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5" fillId="0" borderId="0"/>
    <xf numFmtId="0" fontId="80" fillId="0" borderId="0">
      <alignment vertical="center"/>
    </xf>
    <xf numFmtId="0" fontId="4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91" fillId="0" borderId="0"/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80" fontId="9" fillId="0" borderId="3" xfId="0" applyNumberFormat="1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top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/>
    </xf>
    <xf numFmtId="0" fontId="7" fillId="0" borderId="7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178" fontId="13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vertical="top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78" fontId="17" fillId="0" borderId="0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81" fontId="19" fillId="0" borderId="1" xfId="0" applyNumberFormat="1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81" fontId="16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181" fontId="17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178" fontId="17" fillId="0" borderId="9" xfId="0" applyNumberFormat="1" applyFont="1" applyFill="1" applyBorder="1" applyAlignment="1">
      <alignment horizontal="center" vertical="center"/>
    </xf>
    <xf numFmtId="178" fontId="16" fillId="0" borderId="9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82" fontId="16" fillId="0" borderId="8" xfId="0" applyNumberFormat="1" applyFont="1" applyFill="1" applyBorder="1" applyAlignment="1">
      <alignment horizontal="center" vertical="center"/>
    </xf>
    <xf numFmtId="178" fontId="17" fillId="0" borderId="8" xfId="0" applyNumberFormat="1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181" fontId="17" fillId="0" borderId="11" xfId="0" applyNumberFormat="1" applyFont="1" applyFill="1" applyBorder="1" applyAlignment="1">
      <alignment horizontal="center" vertical="center"/>
    </xf>
    <xf numFmtId="178" fontId="17" fillId="0" borderId="11" xfId="0" applyNumberFormat="1" applyFont="1" applyFill="1" applyBorder="1" applyAlignment="1">
      <alignment horizontal="center" vertical="center"/>
    </xf>
    <xf numFmtId="178" fontId="17" fillId="0" borderId="1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178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81" fontId="19" fillId="0" borderId="0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center" vertical="center" wrapText="1"/>
    </xf>
    <xf numFmtId="181" fontId="16" fillId="0" borderId="13" xfId="0" applyNumberFormat="1" applyFont="1" applyFill="1" applyBorder="1" applyAlignment="1">
      <alignment horizontal="center" vertical="center"/>
    </xf>
    <xf numFmtId="9" fontId="17" fillId="0" borderId="0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178" fontId="16" fillId="0" borderId="13" xfId="0" applyNumberFormat="1" applyFont="1" applyFill="1" applyBorder="1" applyAlignment="1">
      <alignment horizontal="center" vertical="center"/>
    </xf>
    <xf numFmtId="178" fontId="20" fillId="0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6" fillId="0" borderId="1" xfId="57" applyFont="1" applyFill="1" applyBorder="1" applyAlignment="1">
      <alignment horizontal="center" vertical="center" wrapText="1"/>
    </xf>
    <xf numFmtId="181" fontId="16" fillId="0" borderId="13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vertical="center"/>
    </xf>
    <xf numFmtId="181" fontId="16" fillId="0" borderId="14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49" fontId="25" fillId="0" borderId="15" xfId="0" applyNumberFormat="1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/>
    </xf>
    <xf numFmtId="10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178" fontId="3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8" fontId="32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1" fillId="0" borderId="1" xfId="57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29" fillId="0" borderId="1" xfId="57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178" fontId="29" fillId="0" borderId="2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5" fillId="0" borderId="0" xfId="0" applyFont="1">
      <alignment vertical="center"/>
    </xf>
    <xf numFmtId="0" fontId="36" fillId="0" borderId="9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49" fontId="37" fillId="0" borderId="15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78" fontId="37" fillId="0" borderId="1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178" fontId="39" fillId="0" borderId="15" xfId="0" applyNumberFormat="1" applyFont="1" applyFill="1" applyBorder="1" applyAlignment="1">
      <alignment horizontal="center" vertical="center" wrapText="1"/>
    </xf>
    <xf numFmtId="183" fontId="39" fillId="0" borderId="15" xfId="0" applyNumberFormat="1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78" fontId="37" fillId="0" borderId="15" xfId="0" applyNumberFormat="1" applyFont="1" applyFill="1" applyBorder="1" applyAlignment="1">
      <alignment horizontal="center" vertical="center" wrapText="1"/>
    </xf>
    <xf numFmtId="183" fontId="37" fillId="0" borderId="15" xfId="0" applyNumberFormat="1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178" fontId="40" fillId="0" borderId="1" xfId="0" applyNumberFormat="1" applyFont="1" applyFill="1" applyBorder="1" applyAlignment="1">
      <alignment horizontal="center" vertical="center" wrapText="1"/>
    </xf>
    <xf numFmtId="178" fontId="40" fillId="0" borderId="1" xfId="0" applyNumberFormat="1" applyFont="1" applyFill="1" applyBorder="1" applyAlignment="1">
      <alignment horizontal="right" vertical="center" wrapText="1"/>
    </xf>
    <xf numFmtId="178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178" fontId="41" fillId="0" borderId="1" xfId="0" applyNumberFormat="1" applyFont="1" applyFill="1" applyBorder="1" applyAlignment="1">
      <alignment horizontal="right" vertical="center" wrapText="1"/>
    </xf>
    <xf numFmtId="49" fontId="41" fillId="3" borderId="1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178" fontId="41" fillId="3" borderId="1" xfId="0" applyNumberFormat="1" applyFont="1" applyFill="1" applyBorder="1" applyAlignment="1">
      <alignment horizontal="center" vertical="center" wrapText="1"/>
    </xf>
    <xf numFmtId="178" fontId="41" fillId="3" borderId="1" xfId="0" applyNumberFormat="1" applyFont="1" applyFill="1" applyBorder="1" applyAlignment="1">
      <alignment horizontal="right" vertical="center" wrapText="1"/>
    </xf>
    <xf numFmtId="49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178" fontId="40" fillId="3" borderId="1" xfId="0" applyNumberFormat="1" applyFont="1" applyFill="1" applyBorder="1" applyAlignment="1">
      <alignment horizontal="center" vertical="center" wrapText="1"/>
    </xf>
    <xf numFmtId="178" fontId="40" fillId="3" borderId="1" xfId="0" applyNumberFormat="1" applyFont="1" applyFill="1" applyBorder="1" applyAlignment="1">
      <alignment horizontal="right" vertical="center" wrapText="1"/>
    </xf>
    <xf numFmtId="178" fontId="42" fillId="0" borderId="1" xfId="0" applyNumberFormat="1" applyFont="1" applyFill="1" applyBorder="1" applyAlignment="1">
      <alignment horizontal="right" vertical="center" wrapText="1"/>
    </xf>
    <xf numFmtId="178" fontId="43" fillId="0" borderId="1" xfId="0" applyNumberFormat="1" applyFont="1" applyFill="1" applyBorder="1" applyAlignment="1">
      <alignment horizontal="center" vertical="center" wrapText="1"/>
    </xf>
    <xf numFmtId="178" fontId="38" fillId="0" borderId="1" xfId="0" applyNumberFormat="1" applyFont="1" applyFill="1" applyBorder="1" applyAlignment="1">
      <alignment horizontal="center" vertical="center" wrapText="1"/>
    </xf>
    <xf numFmtId="178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41" fillId="0" borderId="1" xfId="0" applyNumberFormat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178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40" fillId="0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78" fontId="44" fillId="0" borderId="1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vertical="center" wrapText="1"/>
    </xf>
    <xf numFmtId="178" fontId="40" fillId="0" borderId="2" xfId="0" applyNumberFormat="1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178" fontId="46" fillId="0" borderId="1" xfId="0" applyNumberFormat="1" applyFont="1" applyFill="1" applyBorder="1" applyAlignment="1">
      <alignment horizontal="center" vertical="center" wrapText="1"/>
    </xf>
    <xf numFmtId="0" fontId="47" fillId="4" borderId="20" xfId="66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41" fillId="0" borderId="1" xfId="57" applyFont="1" applyFill="1" applyBorder="1" applyAlignment="1">
      <alignment horizontal="center" vertical="center" wrapText="1"/>
    </xf>
    <xf numFmtId="0" fontId="48" fillId="0" borderId="1" xfId="57" applyFont="1" applyFill="1" applyBorder="1" applyAlignment="1">
      <alignment horizontal="center" vertical="center" wrapText="1"/>
    </xf>
    <xf numFmtId="0" fontId="48" fillId="0" borderId="1" xfId="57" applyFont="1" applyFill="1" applyBorder="1" applyAlignment="1">
      <alignment horizontal="left" vertical="center" wrapText="1"/>
    </xf>
    <xf numFmtId="0" fontId="48" fillId="0" borderId="1" xfId="0" applyFont="1" applyFill="1" applyBorder="1" applyAlignment="1" applyProtection="1">
      <alignment horizontal="center" vertical="center" wrapText="1"/>
    </xf>
    <xf numFmtId="0" fontId="41" fillId="0" borderId="1" xfId="0" applyFont="1" applyFill="1" applyBorder="1" applyAlignment="1" applyProtection="1">
      <alignment horizontal="center" vertical="center" wrapText="1"/>
    </xf>
    <xf numFmtId="0" fontId="40" fillId="0" borderId="1" xfId="57" applyFont="1" applyFill="1" applyBorder="1" applyAlignment="1">
      <alignment horizontal="center" vertical="center" wrapText="1"/>
    </xf>
    <xf numFmtId="178" fontId="0" fillId="0" borderId="0" xfId="0" applyNumberFormat="1" applyFill="1">
      <alignment vertical="center"/>
    </xf>
    <xf numFmtId="0" fontId="47" fillId="4" borderId="20" xfId="66" applyFont="1" applyFill="1" applyBorder="1" applyAlignment="1">
      <alignment horizontal="right" vertical="center" wrapText="1"/>
    </xf>
    <xf numFmtId="178" fontId="35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78" fontId="39" fillId="0" borderId="1" xfId="0" applyNumberFormat="1" applyFont="1" applyFill="1" applyBorder="1" applyAlignment="1">
      <alignment horizontal="center" vertical="center" wrapText="1"/>
    </xf>
    <xf numFmtId="178" fontId="39" fillId="0" borderId="1" xfId="0" applyNumberFormat="1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center" vertical="center" wrapText="1"/>
    </xf>
    <xf numFmtId="178" fontId="49" fillId="0" borderId="1" xfId="0" applyNumberFormat="1" applyFont="1" applyFill="1" applyBorder="1" applyAlignment="1">
      <alignment horizontal="center" vertical="center" wrapText="1"/>
    </xf>
    <xf numFmtId="178" fontId="49" fillId="0" borderId="1" xfId="0" applyNumberFormat="1" applyFont="1" applyFill="1" applyBorder="1" applyAlignment="1">
      <alignment horizontal="right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1" fillId="0" borderId="0" xfId="0" applyFont="1">
      <alignment vertical="center"/>
    </xf>
    <xf numFmtId="0" fontId="52" fillId="0" borderId="0" xfId="0" applyFont="1" applyFill="1">
      <alignment vertical="center"/>
    </xf>
    <xf numFmtId="0" fontId="53" fillId="0" borderId="0" xfId="0" applyFont="1" applyFill="1">
      <alignment vertical="center"/>
    </xf>
    <xf numFmtId="0" fontId="0" fillId="0" borderId="0" xfId="0" applyFont="1">
      <alignment vertical="center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1" fillId="0" borderId="0" xfId="0" applyNumberFormat="1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4" fillId="0" borderId="1" xfId="0" applyNumberFormat="1" applyFont="1" applyFill="1" applyBorder="1" applyAlignment="1">
      <alignment horizontal="center" vertical="center" wrapText="1"/>
    </xf>
    <xf numFmtId="49" fontId="54" fillId="0" borderId="2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56" fillId="6" borderId="15" xfId="0" applyNumberFormat="1" applyFont="1" applyFill="1" applyBorder="1" applyAlignment="1">
      <alignment horizontal="center" vertical="center" wrapText="1"/>
    </xf>
    <xf numFmtId="0" fontId="57" fillId="6" borderId="15" xfId="0" applyFont="1" applyFill="1" applyBorder="1" applyAlignment="1">
      <alignment horizontal="center" vertical="center" wrapText="1"/>
    </xf>
    <xf numFmtId="178" fontId="56" fillId="6" borderId="15" xfId="0" applyNumberFormat="1" applyFont="1" applyFill="1" applyBorder="1" applyAlignment="1">
      <alignment horizontal="center" vertical="center" wrapText="1"/>
    </xf>
    <xf numFmtId="0" fontId="56" fillId="6" borderId="15" xfId="0" applyFont="1" applyFill="1" applyBorder="1" applyAlignment="1">
      <alignment horizontal="center" vertical="center" wrapText="1"/>
    </xf>
    <xf numFmtId="183" fontId="56" fillId="6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8" fontId="2" fillId="0" borderId="15" xfId="0" applyNumberFormat="1" applyFont="1" applyFill="1" applyBorder="1" applyAlignment="1">
      <alignment horizontal="center" vertical="center" wrapText="1"/>
    </xf>
    <xf numFmtId="178" fontId="58" fillId="0" borderId="15" xfId="0" applyNumberFormat="1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 wrapText="1"/>
    </xf>
    <xf numFmtId="183" fontId="54" fillId="0" borderId="15" xfId="0" applyNumberFormat="1" applyFont="1" applyFill="1" applyBorder="1" applyAlignment="1">
      <alignment horizontal="center" vertical="center" wrapText="1"/>
    </xf>
    <xf numFmtId="178" fontId="54" fillId="0" borderId="15" xfId="0" applyNumberFormat="1" applyFont="1" applyFill="1" applyBorder="1" applyAlignment="1">
      <alignment horizontal="center" vertical="center" wrapText="1"/>
    </xf>
    <xf numFmtId="0" fontId="54" fillId="0" borderId="15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 wrapText="1"/>
    </xf>
    <xf numFmtId="49" fontId="59" fillId="6" borderId="1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178" fontId="59" fillId="6" borderId="1" xfId="0" applyNumberFormat="1" applyFont="1" applyFill="1" applyBorder="1" applyAlignment="1">
      <alignment horizontal="center" vertical="center" wrapText="1"/>
    </xf>
    <xf numFmtId="178" fontId="59" fillId="6" borderId="1" xfId="0" applyNumberFormat="1" applyFont="1" applyFill="1" applyBorder="1" applyAlignment="1">
      <alignment horizontal="right" vertical="center" wrapText="1"/>
    </xf>
    <xf numFmtId="0" fontId="59" fillId="6" borderId="1" xfId="0" applyFont="1" applyFill="1" applyBorder="1" applyAlignment="1">
      <alignment horizontal="center" vertical="center" wrapText="1"/>
    </xf>
    <xf numFmtId="49" fontId="59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78" fontId="59" fillId="3" borderId="1" xfId="0" applyNumberFormat="1" applyFont="1" applyFill="1" applyBorder="1" applyAlignment="1">
      <alignment horizontal="center" vertical="center" wrapText="1"/>
    </xf>
    <xf numFmtId="178" fontId="59" fillId="3" borderId="1" xfId="0" applyNumberFormat="1" applyFont="1" applyFill="1" applyBorder="1" applyAlignment="1">
      <alignment horizontal="right" vertical="center" wrapText="1"/>
    </xf>
    <xf numFmtId="178" fontId="60" fillId="3" borderId="1" xfId="0" applyNumberFormat="1" applyFont="1" applyFill="1" applyBorder="1" applyAlignment="1">
      <alignment horizontal="center" vertical="center" wrapText="1"/>
    </xf>
    <xf numFmtId="0" fontId="60" fillId="3" borderId="1" xfId="0" applyFont="1" applyFill="1" applyBorder="1" applyAlignment="1">
      <alignment horizontal="center" vertical="center" wrapText="1"/>
    </xf>
    <xf numFmtId="178" fontId="60" fillId="0" borderId="1" xfId="0" applyNumberFormat="1" applyFont="1" applyFill="1" applyBorder="1" applyAlignment="1">
      <alignment horizontal="center" vertical="center" wrapText="1"/>
    </xf>
    <xf numFmtId="49" fontId="60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78" fontId="60" fillId="3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61" fillId="0" borderId="1" xfId="0" applyNumberFormat="1" applyFont="1" applyFill="1" applyBorder="1" applyAlignment="1">
      <alignment horizontal="right" vertical="center" wrapText="1"/>
    </xf>
    <xf numFmtId="178" fontId="6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8" fontId="59" fillId="0" borderId="1" xfId="0" applyNumberFormat="1" applyFont="1" applyFill="1" applyBorder="1" applyAlignment="1">
      <alignment horizontal="center" vertical="center" wrapText="1"/>
    </xf>
    <xf numFmtId="178" fontId="59" fillId="0" borderId="1" xfId="0" applyNumberFormat="1" applyFont="1" applyFill="1" applyBorder="1" applyAlignment="1">
      <alignment horizontal="right" vertical="center" wrapText="1"/>
    </xf>
    <xf numFmtId="178" fontId="63" fillId="0" borderId="1" xfId="0" applyNumberFormat="1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178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60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8" fontId="60" fillId="0" borderId="1" xfId="0" applyNumberFormat="1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center" vertical="center" wrapText="1"/>
    </xf>
    <xf numFmtId="178" fontId="54" fillId="0" borderId="1" xfId="0" applyNumberFormat="1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178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59" fillId="0" borderId="1" xfId="0" applyNumberFormat="1" applyFont="1" applyFill="1" applyBorder="1" applyAlignment="1">
      <alignment horizontal="center" vertical="center" wrapText="1"/>
    </xf>
    <xf numFmtId="178" fontId="64" fillId="0" borderId="1" xfId="0" applyNumberFormat="1" applyFont="1" applyFill="1" applyBorder="1" applyAlignment="1">
      <alignment horizontal="center" vertical="center" wrapText="1"/>
    </xf>
    <xf numFmtId="0" fontId="64" fillId="0" borderId="1" xfId="0" applyNumberFormat="1" applyFont="1" applyFill="1" applyBorder="1" applyAlignment="1">
      <alignment horizontal="center" vertical="center" wrapText="1"/>
    </xf>
    <xf numFmtId="0" fontId="64" fillId="0" borderId="1" xfId="0" applyNumberFormat="1" applyFont="1" applyFill="1" applyBorder="1" applyAlignment="1">
      <alignment vertical="center" wrapText="1"/>
    </xf>
    <xf numFmtId="178" fontId="21" fillId="0" borderId="2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185" fontId="0" fillId="0" borderId="0" xfId="0" applyNumberFormat="1">
      <alignment vertical="center"/>
    </xf>
    <xf numFmtId="0" fontId="65" fillId="6" borderId="15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178" fontId="51" fillId="0" borderId="0" xfId="0" applyNumberFormat="1" applyFont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178" fontId="52" fillId="0" borderId="0" xfId="0" applyNumberFormat="1" applyFont="1" applyFill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178" fontId="53" fillId="0" borderId="0" xfId="0" applyNumberFormat="1" applyFont="1" applyFill="1" applyAlignment="1">
      <alignment horizontal="center" vertical="center"/>
    </xf>
    <xf numFmtId="178" fontId="53" fillId="0" borderId="0" xfId="0" applyNumberFormat="1" applyFont="1" applyFill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178" fontId="66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5" fillId="0" borderId="1" xfId="57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21" fillId="0" borderId="1" xfId="57" applyFont="1" applyFill="1" applyBorder="1" applyAlignment="1">
      <alignment horizontal="center" vertical="center" wrapText="1"/>
    </xf>
    <xf numFmtId="178" fontId="67" fillId="0" borderId="1" xfId="0" applyNumberFormat="1" applyFont="1" applyFill="1" applyBorder="1" applyAlignment="1">
      <alignment horizontal="center" vertical="center" wrapText="1"/>
    </xf>
    <xf numFmtId="49" fontId="58" fillId="6" borderId="1" xfId="0" applyNumberFormat="1" applyFont="1" applyFill="1" applyBorder="1" applyAlignment="1">
      <alignment horizontal="center" vertical="center" wrapText="1"/>
    </xf>
    <xf numFmtId="0" fontId="68" fillId="6" borderId="1" xfId="0" applyFont="1" applyFill="1" applyBorder="1" applyAlignment="1">
      <alignment horizontal="center" vertical="center" wrapText="1"/>
    </xf>
    <xf numFmtId="178" fontId="58" fillId="6" borderId="1" xfId="0" applyNumberFormat="1" applyFont="1" applyFill="1" applyBorder="1" applyAlignment="1">
      <alignment horizontal="center" vertical="center" wrapText="1"/>
    </xf>
    <xf numFmtId="178" fontId="58" fillId="6" borderId="1" xfId="0" applyNumberFormat="1" applyFont="1" applyFill="1" applyBorder="1" applyAlignment="1">
      <alignment horizontal="right" vertical="center" wrapText="1"/>
    </xf>
    <xf numFmtId="0" fontId="60" fillId="6" borderId="1" xfId="0" applyFont="1" applyFill="1" applyBorder="1" applyAlignment="1">
      <alignment horizontal="center" vertical="center" wrapText="1"/>
    </xf>
    <xf numFmtId="178" fontId="60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9" fontId="58" fillId="3" borderId="1" xfId="0" applyNumberFormat="1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horizontal="center" vertical="center" wrapText="1"/>
    </xf>
    <xf numFmtId="178" fontId="58" fillId="3" borderId="1" xfId="0" applyNumberFormat="1" applyFont="1" applyFill="1" applyBorder="1" applyAlignment="1">
      <alignment horizontal="center" vertical="center" wrapText="1"/>
    </xf>
    <xf numFmtId="178" fontId="58" fillId="3" borderId="1" xfId="0" applyNumberFormat="1" applyFont="1" applyFill="1" applyBorder="1" applyAlignment="1">
      <alignment horizontal="right" vertical="center" wrapText="1"/>
    </xf>
    <xf numFmtId="178" fontId="69" fillId="6" borderId="1" xfId="0" applyNumberFormat="1" applyFont="1" applyFill="1" applyBorder="1" applyAlignment="1">
      <alignment horizontal="center" vertical="center" wrapText="1"/>
    </xf>
    <xf numFmtId="178" fontId="69" fillId="6" borderId="1" xfId="0" applyNumberFormat="1" applyFont="1" applyFill="1" applyBorder="1" applyAlignment="1">
      <alignment horizontal="right" vertical="center" wrapText="1"/>
    </xf>
    <xf numFmtId="49" fontId="41" fillId="0" borderId="0" xfId="0" applyNumberFormat="1" applyFont="1" applyFill="1" applyAlignment="1">
      <alignment vertical="center" wrapText="1"/>
    </xf>
    <xf numFmtId="0" fontId="41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vertical="center" wrapText="1"/>
    </xf>
    <xf numFmtId="178" fontId="41" fillId="0" borderId="0" xfId="0" applyNumberFormat="1" applyFont="1" applyFill="1" applyAlignment="1">
      <alignment horizontal="center" vertical="center" wrapText="1"/>
    </xf>
    <xf numFmtId="2" fontId="41" fillId="0" borderId="0" xfId="0" applyNumberFormat="1" applyFont="1" applyFill="1" applyAlignment="1">
      <alignment horizontal="center" vertical="center" wrapText="1"/>
    </xf>
    <xf numFmtId="176" fontId="41" fillId="0" borderId="0" xfId="0" applyNumberFormat="1" applyFont="1" applyFill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178" fontId="55" fillId="0" borderId="24" xfId="0" applyNumberFormat="1" applyFont="1" applyBorder="1" applyAlignment="1">
      <alignment horizontal="center" vertical="center" wrapText="1"/>
    </xf>
    <xf numFmtId="10" fontId="63" fillId="0" borderId="24" xfId="0" applyNumberFormat="1" applyFont="1" applyBorder="1" applyAlignment="1">
      <alignment horizontal="center" vertical="center" wrapText="1" indent="2"/>
    </xf>
    <xf numFmtId="0" fontId="0" fillId="0" borderId="24" xfId="0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84" fontId="0" fillId="7" borderId="0" xfId="0" applyNumberFormat="1" applyFill="1" applyBorder="1">
      <alignment vertical="center"/>
    </xf>
    <xf numFmtId="184" fontId="0" fillId="7" borderId="1" xfId="0" applyNumberFormat="1" applyFill="1" applyBorder="1">
      <alignment vertical="center"/>
    </xf>
    <xf numFmtId="185" fontId="0" fillId="0" borderId="0" xfId="0" applyNumberFormat="1" applyAlignment="1">
      <alignment horizontal="center" vertical="center"/>
    </xf>
    <xf numFmtId="0" fontId="48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0" fillId="3" borderId="1" xfId="0" applyNumberFormat="1" applyFont="1" applyFill="1" applyBorder="1" applyAlignment="1" quotePrefix="1">
      <alignment horizontal="center" vertical="center" wrapText="1"/>
    </xf>
    <xf numFmtId="0" fontId="15" fillId="0" borderId="2" xfId="0" applyFont="1" applyFill="1" applyBorder="1" applyAlignment="1" quotePrefix="1">
      <alignment horizontal="center" vertical="center" wrapText="1"/>
    </xf>
    <xf numFmtId="49" fontId="41" fillId="0" borderId="1" xfId="0" applyNumberFormat="1" applyFont="1" applyFill="1" applyBorder="1" applyAlignment="1" quotePrefix="1">
      <alignment horizontal="center" vertical="center" wrapText="1"/>
    </xf>
    <xf numFmtId="49" fontId="41" fillId="3" borderId="1" xfId="0" applyNumberFormat="1" applyFont="1" applyFill="1" applyBorder="1" applyAlignment="1" quotePrefix="1">
      <alignment horizontal="center" vertical="center" wrapText="1"/>
    </xf>
    <xf numFmtId="0" fontId="41" fillId="0" borderId="2" xfId="0" applyFont="1" applyFill="1" applyBorder="1" applyAlignment="1" quotePrefix="1">
      <alignment horizontal="center" vertical="center" wrapText="1"/>
    </xf>
    <xf numFmtId="49" fontId="31" fillId="0" borderId="1" xfId="0" applyNumberFormat="1" applyFont="1" applyFill="1" applyBorder="1" applyAlignment="1" quotePrefix="1">
      <alignment horizontal="center" vertical="center" wrapText="1"/>
    </xf>
    <xf numFmtId="0" fontId="16" fillId="0" borderId="2" xfId="0" applyFont="1" applyFill="1" applyBorder="1" applyAlignment="1" quotePrefix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75" xfId="20"/>
    <cellStyle name="标题 1" xfId="21" builtinId="16"/>
    <cellStyle name="常规 76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_总表" xfId="40"/>
    <cellStyle name="常规_概算汇总表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安装 2" xfId="49"/>
    <cellStyle name="40% - 强调文字颜色 4" xfId="50" builtinId="43"/>
    <cellStyle name="常规 222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223" xfId="56"/>
    <cellStyle name="常规 2 3" xfId="57"/>
    <cellStyle name="40% - 强调文字颜色 6" xfId="58" builtinId="51"/>
    <cellStyle name="60% - 强调文字颜色 6" xfId="59" builtinId="52"/>
    <cellStyle name="常规 4" xfId="60"/>
    <cellStyle name="常规 11" xfId="61"/>
    <cellStyle name="常规_Sheet1" xfId="62"/>
    <cellStyle name="常规 5" xfId="63"/>
    <cellStyle name="常规 74" xfId="64"/>
    <cellStyle name="常规 15" xfId="65"/>
    <cellStyle name="Normal" xfId="66"/>
    <cellStyle name="常规 3" xfId="6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5"/>
  <sheetViews>
    <sheetView zoomScale="70" zoomScaleNormal="70" workbookViewId="0">
      <pane ySplit="3" topLeftCell="A62" activePane="bottomLeft" state="frozen"/>
      <selection/>
      <selection pane="bottomLeft" activeCell="E69" sqref="E69"/>
    </sheetView>
  </sheetViews>
  <sheetFormatPr defaultColWidth="9" defaultRowHeight="13.5"/>
  <cols>
    <col min="1" max="1" width="9" style="211" customWidth="1"/>
    <col min="2" max="2" width="26.0333333333333" style="212" customWidth="1"/>
    <col min="3" max="3" width="16.8833333333333" style="211" customWidth="1"/>
    <col min="4" max="4" width="17.7833333333333" style="211" customWidth="1"/>
    <col min="5" max="5" width="11.7583333333333" style="212" customWidth="1"/>
    <col min="6" max="6" width="14.75" style="212" customWidth="1"/>
    <col min="7" max="7" width="14.55" style="212" customWidth="1"/>
    <col min="8" max="8" width="11.6333333333333" style="212" customWidth="1"/>
    <col min="9" max="9" width="12.25" style="212" customWidth="1"/>
    <col min="10" max="10" width="22.25" style="212" customWidth="1"/>
    <col min="11" max="11" width="15.875"/>
    <col min="12" max="13" width="12.6333333333333"/>
    <col min="15" max="15" width="16"/>
    <col min="16" max="16" width="12.6333333333333"/>
  </cols>
  <sheetData>
    <row r="1" ht="33" customHeight="1" spans="1:10">
      <c r="A1" s="213" t="s">
        <v>0</v>
      </c>
      <c r="B1" s="214"/>
      <c r="C1" s="214"/>
      <c r="D1" s="214"/>
      <c r="E1" s="214"/>
      <c r="F1" s="214"/>
      <c r="G1" s="214"/>
      <c r="H1" s="214"/>
      <c r="I1" s="214"/>
      <c r="J1" s="273"/>
    </row>
    <row r="2" ht="33" customHeight="1" spans="1:10">
      <c r="A2" s="215" t="s">
        <v>1</v>
      </c>
      <c r="B2" s="216" t="s">
        <v>2</v>
      </c>
      <c r="C2" s="8" t="s">
        <v>3</v>
      </c>
      <c r="D2" s="217"/>
      <c r="E2" s="217"/>
      <c r="F2" s="217"/>
      <c r="G2" s="218" t="s">
        <v>4</v>
      </c>
      <c r="H2" s="219"/>
      <c r="I2" s="219"/>
      <c r="J2" s="8" t="s">
        <v>5</v>
      </c>
    </row>
    <row r="3" ht="56" customHeight="1" spans="1:12">
      <c r="A3" s="220"/>
      <c r="B3" s="221"/>
      <c r="C3" s="8" t="s">
        <v>6</v>
      </c>
      <c r="D3" s="222" t="s">
        <v>7</v>
      </c>
      <c r="E3" s="8" t="s">
        <v>8</v>
      </c>
      <c r="F3" s="8" t="s">
        <v>9</v>
      </c>
      <c r="G3" s="8" t="s">
        <v>10</v>
      </c>
      <c r="H3" s="223" t="s">
        <v>11</v>
      </c>
      <c r="I3" s="222" t="s">
        <v>12</v>
      </c>
      <c r="J3" s="217"/>
      <c r="K3" s="274">
        <v>19706.93879587</v>
      </c>
      <c r="L3" s="185">
        <f>F4/K3</f>
        <v>1.0308272602063</v>
      </c>
    </row>
    <row r="4" s="204" customFormat="1" ht="33" customHeight="1" spans="1:15">
      <c r="A4" s="224" t="s">
        <v>13</v>
      </c>
      <c r="B4" s="225" t="s">
        <v>14</v>
      </c>
      <c r="C4" s="226">
        <f>SUM(C5:C10,C13:C16)</f>
        <v>20237.194381</v>
      </c>
      <c r="D4" s="226">
        <f>SUM(D5:D10,D13:D16)</f>
        <v>77.255345</v>
      </c>
      <c r="E4" s="226">
        <f>SUM(E5:E10,E13:E16)</f>
        <v>0</v>
      </c>
      <c r="F4" s="226">
        <f>SUM(C4:E4)</f>
        <v>20314.449726</v>
      </c>
      <c r="G4" s="227" t="s">
        <v>15</v>
      </c>
      <c r="H4" s="228">
        <f>SUM(H5:H9,H13:H16)</f>
        <v>18301</v>
      </c>
      <c r="I4" s="226">
        <f>C4/H4*10000</f>
        <v>11057.9719037211</v>
      </c>
      <c r="J4" s="275"/>
      <c r="L4" s="276"/>
      <c r="O4" s="277"/>
    </row>
    <row r="5" s="205" customFormat="1" ht="33" customHeight="1" spans="1:15">
      <c r="A5" s="229">
        <v>1</v>
      </c>
      <c r="B5" s="229" t="s">
        <v>16</v>
      </c>
      <c r="C5" s="230">
        <f>K5/10000</f>
        <v>417.613567</v>
      </c>
      <c r="D5" s="229"/>
      <c r="E5" s="231"/>
      <c r="F5" s="231"/>
      <c r="G5" s="232" t="s">
        <v>15</v>
      </c>
      <c r="H5" s="233">
        <f>248+10+22</f>
        <v>280</v>
      </c>
      <c r="I5" s="234">
        <f>C5/H5*10000</f>
        <v>14914.77025</v>
      </c>
      <c r="J5" s="236"/>
      <c r="K5" s="206">
        <v>4176135.67</v>
      </c>
      <c r="L5" s="278"/>
      <c r="O5" s="279"/>
    </row>
    <row r="6" s="206" customFormat="1" ht="33" customHeight="1" spans="1:15">
      <c r="A6" s="229">
        <v>2</v>
      </c>
      <c r="B6" s="229" t="s">
        <v>17</v>
      </c>
      <c r="C6" s="230">
        <f>K6/10000</f>
        <v>1137.21833</v>
      </c>
      <c r="D6" s="229"/>
      <c r="E6" s="234"/>
      <c r="F6" s="234"/>
      <c r="G6" s="235" t="s">
        <v>15</v>
      </c>
      <c r="H6" s="233">
        <f>797+20+47+18</f>
        <v>882</v>
      </c>
      <c r="I6" s="234">
        <f t="shared" ref="I6:I18" si="0">C6/H6*10000</f>
        <v>12893.6318594104</v>
      </c>
      <c r="J6" s="236"/>
      <c r="K6" s="206">
        <v>11372183.3</v>
      </c>
      <c r="L6" s="280"/>
      <c r="O6" s="281"/>
    </row>
    <row r="7" s="206" customFormat="1" ht="33" customHeight="1" spans="1:15">
      <c r="A7" s="229">
        <v>3</v>
      </c>
      <c r="B7" s="229" t="s">
        <v>18</v>
      </c>
      <c r="C7" s="230">
        <f>K7/10000</f>
        <v>313.72778</v>
      </c>
      <c r="D7" s="229"/>
      <c r="E7" s="234"/>
      <c r="F7" s="234"/>
      <c r="G7" s="235" t="s">
        <v>15</v>
      </c>
      <c r="H7" s="233">
        <f>193+16+10</f>
        <v>219</v>
      </c>
      <c r="I7" s="234">
        <f t="shared" si="0"/>
        <v>14325.4694063927</v>
      </c>
      <c r="J7" s="236"/>
      <c r="K7" s="206">
        <v>3137277.8</v>
      </c>
      <c r="L7" s="280"/>
      <c r="O7" s="281"/>
    </row>
    <row r="8" s="206" customFormat="1" ht="33" customHeight="1" spans="1:15">
      <c r="A8" s="229">
        <v>4</v>
      </c>
      <c r="B8" s="229" t="s">
        <v>19</v>
      </c>
      <c r="C8" s="230">
        <f>K8/10000</f>
        <v>857.212144</v>
      </c>
      <c r="D8" s="229"/>
      <c r="E8" s="234"/>
      <c r="F8" s="234"/>
      <c r="G8" s="235" t="s">
        <v>15</v>
      </c>
      <c r="H8" s="233">
        <f>1116+85+220+89+70+300</f>
        <v>1880</v>
      </c>
      <c r="I8" s="234">
        <f t="shared" si="0"/>
        <v>4559.63906382979</v>
      </c>
      <c r="J8" s="236"/>
      <c r="K8" s="206">
        <v>8572121.44</v>
      </c>
      <c r="L8" s="280"/>
      <c r="M8" s="282">
        <f>SUM(C5:D10,C13)</f>
        <v>5342.994432</v>
      </c>
      <c r="O8" s="281"/>
    </row>
    <row r="9" s="206" customFormat="1" ht="33" customHeight="1" spans="1:15">
      <c r="A9" s="229">
        <v>5</v>
      </c>
      <c r="B9" s="229" t="s">
        <v>20</v>
      </c>
      <c r="C9" s="230">
        <f>K9/10000</f>
        <v>782.679164</v>
      </c>
      <c r="D9" s="229"/>
      <c r="E9" s="234"/>
      <c r="F9" s="234"/>
      <c r="G9" s="235" t="s">
        <v>15</v>
      </c>
      <c r="H9" s="233">
        <f>110+50+1100</f>
        <v>1260</v>
      </c>
      <c r="I9" s="234">
        <f t="shared" si="0"/>
        <v>6211.7393968254</v>
      </c>
      <c r="J9" s="236"/>
      <c r="K9" s="206">
        <v>7826791.64</v>
      </c>
      <c r="L9" s="280"/>
      <c r="O9" s="281"/>
    </row>
    <row r="10" s="206" customFormat="1" ht="33" customHeight="1" spans="1:15">
      <c r="A10" s="229">
        <v>6</v>
      </c>
      <c r="B10" s="229" t="s">
        <v>21</v>
      </c>
      <c r="C10" s="230">
        <f>C11+C12</f>
        <v>193.735581</v>
      </c>
      <c r="D10" s="230">
        <f>D11+D12</f>
        <v>77.255345</v>
      </c>
      <c r="E10" s="234"/>
      <c r="F10" s="234"/>
      <c r="G10" s="236" t="s">
        <v>22</v>
      </c>
      <c r="H10" s="233">
        <v>1</v>
      </c>
      <c r="I10" s="234">
        <f t="shared" si="0"/>
        <v>1937355.81</v>
      </c>
      <c r="J10" s="236"/>
      <c r="K10" s="206">
        <v>2709909.26</v>
      </c>
      <c r="L10" s="280"/>
      <c r="O10" s="281"/>
    </row>
    <row r="11" s="206" customFormat="1" ht="33" customHeight="1" spans="1:15">
      <c r="A11" s="229">
        <v>6.1</v>
      </c>
      <c r="B11" s="229" t="s">
        <v>23</v>
      </c>
      <c r="C11" s="230">
        <f>K11/10000</f>
        <v>193.735581</v>
      </c>
      <c r="D11" s="230"/>
      <c r="E11" s="234"/>
      <c r="F11" s="234"/>
      <c r="G11" s="236" t="s">
        <v>22</v>
      </c>
      <c r="H11" s="233">
        <v>1</v>
      </c>
      <c r="I11" s="234">
        <f t="shared" si="0"/>
        <v>1937355.81</v>
      </c>
      <c r="J11" s="236"/>
      <c r="K11" s="206">
        <v>1937355.81</v>
      </c>
      <c r="L11" s="280"/>
      <c r="O11" s="281"/>
    </row>
    <row r="12" s="206" customFormat="1" ht="33" customHeight="1" spans="1:15">
      <c r="A12" s="229">
        <v>6.2</v>
      </c>
      <c r="B12" s="229" t="s">
        <v>24</v>
      </c>
      <c r="C12" s="229"/>
      <c r="D12" s="230">
        <f>K12/10000</f>
        <v>77.255345</v>
      </c>
      <c r="E12" s="234"/>
      <c r="F12" s="234"/>
      <c r="G12" s="236" t="s">
        <v>22</v>
      </c>
      <c r="H12" s="233">
        <v>1</v>
      </c>
      <c r="I12" s="234">
        <f>D12/H12*10000</f>
        <v>772553.45</v>
      </c>
      <c r="J12" s="236"/>
      <c r="K12" s="206">
        <v>772553.45</v>
      </c>
      <c r="L12" s="280"/>
      <c r="O12" s="281"/>
    </row>
    <row r="13" s="206" customFormat="1" ht="33" customHeight="1" spans="1:15">
      <c r="A13" s="229">
        <v>7</v>
      </c>
      <c r="B13" s="229" t="s">
        <v>25</v>
      </c>
      <c r="C13" s="230">
        <f>K13/10000</f>
        <v>1563.552521</v>
      </c>
      <c r="D13" s="229"/>
      <c r="E13" s="234"/>
      <c r="F13" s="234"/>
      <c r="G13" s="235" t="s">
        <v>15</v>
      </c>
      <c r="H13" s="233">
        <f>1246+161</f>
        <v>1407</v>
      </c>
      <c r="I13" s="234">
        <f t="shared" si="0"/>
        <v>11112.6689481166</v>
      </c>
      <c r="J13" s="235"/>
      <c r="K13" s="206">
        <v>15635525.21</v>
      </c>
      <c r="L13" s="280"/>
      <c r="O13" s="281"/>
    </row>
    <row r="14" s="205" customFormat="1" ht="33" customHeight="1" spans="1:15">
      <c r="A14" s="229" t="s">
        <v>26</v>
      </c>
      <c r="B14" s="229" t="s">
        <v>27</v>
      </c>
      <c r="C14" s="230">
        <v>9777.377229</v>
      </c>
      <c r="D14" s="231"/>
      <c r="E14" s="231"/>
      <c r="F14" s="231"/>
      <c r="G14" s="235" t="s">
        <v>15</v>
      </c>
      <c r="H14" s="233">
        <f>20+6385+15+30+30+10+40+1080+35+55</f>
        <v>7700</v>
      </c>
      <c r="I14" s="234">
        <f t="shared" si="0"/>
        <v>12697.8925051948</v>
      </c>
      <c r="J14" s="232"/>
      <c r="K14" s="206">
        <v>95952148.11</v>
      </c>
      <c r="L14" s="278"/>
      <c r="O14" s="279"/>
    </row>
    <row r="15" s="206" customFormat="1" ht="33" customHeight="1" spans="1:15">
      <c r="A15" s="229" t="s">
        <v>28</v>
      </c>
      <c r="B15" s="229" t="s">
        <v>29</v>
      </c>
      <c r="C15" s="230">
        <v>4703.386568</v>
      </c>
      <c r="D15" s="234"/>
      <c r="E15" s="234"/>
      <c r="F15" s="234"/>
      <c r="G15" s="235" t="s">
        <v>15</v>
      </c>
      <c r="H15" s="233">
        <f>3496+31+336+43+69+195</f>
        <v>4170</v>
      </c>
      <c r="I15" s="234">
        <f t="shared" si="0"/>
        <v>11279.1044796163</v>
      </c>
      <c r="J15" s="235"/>
      <c r="K15" s="206">
        <v>46200867.56</v>
      </c>
      <c r="L15" s="280"/>
      <c r="O15" s="281"/>
    </row>
    <row r="16" s="206" customFormat="1" ht="33" customHeight="1" spans="1:15">
      <c r="A16" s="229">
        <v>10</v>
      </c>
      <c r="B16" s="229" t="s">
        <v>30</v>
      </c>
      <c r="C16" s="230">
        <v>490.691497</v>
      </c>
      <c r="D16" s="234"/>
      <c r="E16" s="234"/>
      <c r="F16" s="234"/>
      <c r="G16" s="235" t="s">
        <v>15</v>
      </c>
      <c r="H16" s="233">
        <f>57+446</f>
        <v>503</v>
      </c>
      <c r="I16" s="234">
        <f t="shared" si="0"/>
        <v>9755.29815109344</v>
      </c>
      <c r="J16" s="235"/>
      <c r="K16" s="206">
        <v>3930633.85</v>
      </c>
      <c r="L16" s="280"/>
      <c r="O16" s="281"/>
    </row>
    <row r="17" ht="33" customHeight="1" spans="1:10">
      <c r="A17" s="237" t="s">
        <v>31</v>
      </c>
      <c r="B17" s="238" t="s">
        <v>32</v>
      </c>
      <c r="C17" s="239"/>
      <c r="D17" s="240"/>
      <c r="E17" s="239"/>
      <c r="F17" s="239">
        <f>SUM(F18,F25,F30,F42,F44,F48,F64)</f>
        <v>6566.09542038697</v>
      </c>
      <c r="G17" s="241"/>
      <c r="H17" s="239"/>
      <c r="I17" s="239"/>
      <c r="J17" s="283"/>
    </row>
    <row r="18" ht="33" customHeight="1" spans="1:10">
      <c r="A18" s="242" t="s">
        <v>33</v>
      </c>
      <c r="B18" s="243" t="s">
        <v>34</v>
      </c>
      <c r="C18" s="244"/>
      <c r="D18" s="245"/>
      <c r="E18" s="246"/>
      <c r="F18" s="244">
        <f>SUM(E19:E24)</f>
        <v>735.8</v>
      </c>
      <c r="G18" s="247" t="s">
        <v>15</v>
      </c>
      <c r="H18" s="248"/>
      <c r="I18" s="246"/>
      <c r="J18" s="284" t="s">
        <v>35</v>
      </c>
    </row>
    <row r="19" s="207" customFormat="1" ht="33" customHeight="1" spans="1:13">
      <c r="A19" s="323" t="s">
        <v>36</v>
      </c>
      <c r="B19" s="250" t="s">
        <v>37</v>
      </c>
      <c r="C19" s="246"/>
      <c r="D19" s="251"/>
      <c r="E19" s="246">
        <f t="shared" ref="E19:E24" si="1">H19*I19/10000</f>
        <v>63</v>
      </c>
      <c r="F19" s="246">
        <f t="shared" ref="F19:F24" si="2">E19</f>
        <v>63</v>
      </c>
      <c r="G19" s="247" t="s">
        <v>15</v>
      </c>
      <c r="H19" s="248">
        <f>(管线迁改保护!B13)*2</f>
        <v>1260</v>
      </c>
      <c r="I19" s="246">
        <v>500</v>
      </c>
      <c r="J19" s="284"/>
      <c r="M19" s="207">
        <v>2</v>
      </c>
    </row>
    <row r="20" s="207" customFormat="1" ht="33" customHeight="1" spans="1:10">
      <c r="A20" s="323" t="s">
        <v>38</v>
      </c>
      <c r="B20" s="250" t="s">
        <v>39</v>
      </c>
      <c r="C20" s="246"/>
      <c r="D20" s="251"/>
      <c r="E20" s="246">
        <f t="shared" si="1"/>
        <v>68</v>
      </c>
      <c r="F20" s="246">
        <f t="shared" si="2"/>
        <v>68</v>
      </c>
      <c r="G20" s="247" t="s">
        <v>15</v>
      </c>
      <c r="H20" s="248">
        <f>(管线迁改保护!C13)*2</f>
        <v>680</v>
      </c>
      <c r="I20" s="246">
        <v>1000</v>
      </c>
      <c r="J20" s="284"/>
    </row>
    <row r="21" s="207" customFormat="1" ht="33" customHeight="1" spans="1:10">
      <c r="A21" s="323" t="s">
        <v>40</v>
      </c>
      <c r="B21" s="250" t="s">
        <v>41</v>
      </c>
      <c r="C21" s="246"/>
      <c r="D21" s="251"/>
      <c r="E21" s="246">
        <f t="shared" si="1"/>
        <v>234</v>
      </c>
      <c r="F21" s="246">
        <f t="shared" si="2"/>
        <v>234</v>
      </c>
      <c r="G21" s="247" t="s">
        <v>15</v>
      </c>
      <c r="H21" s="248">
        <f>(管线迁改保护!D13)*2</f>
        <v>2600</v>
      </c>
      <c r="I21" s="246">
        <v>900</v>
      </c>
      <c r="J21" s="284"/>
    </row>
    <row r="22" s="207" customFormat="1" ht="33" customHeight="1" spans="1:10">
      <c r="A22" s="323" t="s">
        <v>42</v>
      </c>
      <c r="B22" s="250" t="s">
        <v>43</v>
      </c>
      <c r="C22" s="246"/>
      <c r="D22" s="251"/>
      <c r="E22" s="246">
        <f t="shared" si="1"/>
        <v>177</v>
      </c>
      <c r="F22" s="246">
        <f t="shared" si="2"/>
        <v>177</v>
      </c>
      <c r="G22" s="247" t="s">
        <v>15</v>
      </c>
      <c r="H22" s="248">
        <f>(管线迁改保护!E13)*2</f>
        <v>2360</v>
      </c>
      <c r="I22" s="246">
        <v>750</v>
      </c>
      <c r="J22" s="284"/>
    </row>
    <row r="23" s="207" customFormat="1" ht="33" customHeight="1" spans="1:10">
      <c r="A23" s="323" t="s">
        <v>44</v>
      </c>
      <c r="B23" s="250" t="s">
        <v>45</v>
      </c>
      <c r="C23" s="246"/>
      <c r="D23" s="251"/>
      <c r="E23" s="246">
        <f t="shared" si="1"/>
        <v>177</v>
      </c>
      <c r="F23" s="246">
        <f t="shared" si="2"/>
        <v>177</v>
      </c>
      <c r="G23" s="247" t="s">
        <v>15</v>
      </c>
      <c r="H23" s="248">
        <f>(管线迁改保护!F13)*2</f>
        <v>2360</v>
      </c>
      <c r="I23" s="246">
        <v>750</v>
      </c>
      <c r="J23" s="284"/>
    </row>
    <row r="24" s="207" customFormat="1" ht="33" customHeight="1" spans="1:10">
      <c r="A24" s="323" t="s">
        <v>46</v>
      </c>
      <c r="B24" s="250" t="s">
        <v>47</v>
      </c>
      <c r="C24" s="246"/>
      <c r="D24" s="251"/>
      <c r="E24" s="246">
        <f t="shared" si="1"/>
        <v>16.8</v>
      </c>
      <c r="F24" s="246">
        <f t="shared" si="2"/>
        <v>16.8</v>
      </c>
      <c r="G24" s="247" t="s">
        <v>15</v>
      </c>
      <c r="H24" s="248">
        <f>(管线迁改保护!G13)*2</f>
        <v>140</v>
      </c>
      <c r="I24" s="246">
        <v>1200</v>
      </c>
      <c r="J24" s="284"/>
    </row>
    <row r="25" ht="33" customHeight="1" spans="1:10">
      <c r="A25" s="242" t="s">
        <v>48</v>
      </c>
      <c r="B25" s="243" t="s">
        <v>49</v>
      </c>
      <c r="C25" s="244"/>
      <c r="D25" s="245"/>
      <c r="E25" s="246"/>
      <c r="F25" s="244">
        <f>SUM(E26:E29)</f>
        <v>168.242158789206</v>
      </c>
      <c r="G25" s="250"/>
      <c r="H25" s="248"/>
      <c r="I25" s="246"/>
      <c r="J25" s="252"/>
    </row>
    <row r="26" s="208" customFormat="1" ht="30" customHeight="1" spans="1:10">
      <c r="A26" s="323" t="s">
        <v>36</v>
      </c>
      <c r="B26" s="252" t="s">
        <v>50</v>
      </c>
      <c r="C26" s="253"/>
      <c r="D26" s="253"/>
      <c r="E26" s="254">
        <f>H26*I26/10000</f>
        <v>70.1396493017534</v>
      </c>
      <c r="F26" s="254">
        <f>E26</f>
        <v>70.1396493017534</v>
      </c>
      <c r="G26" s="252" t="s">
        <v>51</v>
      </c>
      <c r="H26" s="254">
        <f>管线迁改保护!H13/666.67</f>
        <v>35.0698246508767</v>
      </c>
      <c r="I26" s="254">
        <v>20000</v>
      </c>
      <c r="J26" s="284" t="s">
        <v>35</v>
      </c>
    </row>
    <row r="27" s="208" customFormat="1" ht="30" customHeight="1" spans="1:10">
      <c r="A27" s="323" t="s">
        <v>38</v>
      </c>
      <c r="B27" s="252" t="s">
        <v>52</v>
      </c>
      <c r="C27" s="253"/>
      <c r="D27" s="253"/>
      <c r="E27" s="254">
        <f>H27*I27/10000</f>
        <v>6.5519672401638</v>
      </c>
      <c r="F27" s="254">
        <f>E27</f>
        <v>6.5519672401638</v>
      </c>
      <c r="G27" s="252" t="s">
        <v>51</v>
      </c>
      <c r="H27" s="254">
        <f>管线迁改保护!I13/666.67</f>
        <v>0.44999775001125</v>
      </c>
      <c r="I27" s="254">
        <v>145600</v>
      </c>
      <c r="J27" s="284" t="s">
        <v>53</v>
      </c>
    </row>
    <row r="28" s="208" customFormat="1" ht="30" customHeight="1" spans="1:10">
      <c r="A28" s="323" t="s">
        <v>40</v>
      </c>
      <c r="B28" s="252" t="s">
        <v>54</v>
      </c>
      <c r="C28" s="253"/>
      <c r="D28" s="253"/>
      <c r="E28" s="254">
        <f>H28*I28/10000</f>
        <v>66.4256678716607</v>
      </c>
      <c r="F28" s="254">
        <f>E28</f>
        <v>66.4256678716607</v>
      </c>
      <c r="G28" s="252" t="s">
        <v>51</v>
      </c>
      <c r="H28" s="254">
        <f>管线迁改保护!J13/666.67</f>
        <v>33.2128339358303</v>
      </c>
      <c r="I28" s="254">
        <v>20000</v>
      </c>
      <c r="J28" s="284" t="s">
        <v>35</v>
      </c>
    </row>
    <row r="29" s="209" customFormat="1" ht="30" customHeight="1" spans="1:10">
      <c r="A29" s="323" t="s">
        <v>42</v>
      </c>
      <c r="B29" s="252" t="s">
        <v>55</v>
      </c>
      <c r="C29" s="253"/>
      <c r="D29" s="253"/>
      <c r="E29" s="254">
        <f>H29*I29/10000</f>
        <v>25.1248743756281</v>
      </c>
      <c r="F29" s="254">
        <f>E29</f>
        <v>25.1248743756281</v>
      </c>
      <c r="G29" s="252" t="s">
        <v>51</v>
      </c>
      <c r="H29" s="254">
        <f>管线迁改保护!K13/666.67</f>
        <v>25.1248743756281</v>
      </c>
      <c r="I29" s="254">
        <v>10000</v>
      </c>
      <c r="J29" s="284" t="s">
        <v>35</v>
      </c>
    </row>
    <row r="30" ht="33" customHeight="1" spans="1:10">
      <c r="A30" s="242" t="s">
        <v>56</v>
      </c>
      <c r="B30" s="243" t="s">
        <v>57</v>
      </c>
      <c r="C30" s="244"/>
      <c r="D30" s="245"/>
      <c r="E30" s="246"/>
      <c r="F30" s="244">
        <f>SUM(F31,F32,F33,F38,F41)</f>
        <v>744.751377066359</v>
      </c>
      <c r="G30" s="250"/>
      <c r="H30" s="248"/>
      <c r="I30" s="246"/>
      <c r="J30" s="252"/>
    </row>
    <row r="31" ht="33" customHeight="1" spans="1:11">
      <c r="A31" s="242">
        <v>3.1</v>
      </c>
      <c r="B31" s="255" t="s">
        <v>58</v>
      </c>
      <c r="C31" s="256"/>
      <c r="D31" s="257"/>
      <c r="E31" s="258">
        <v>281.05</v>
      </c>
      <c r="F31" s="256">
        <f>E31</f>
        <v>281.05</v>
      </c>
      <c r="G31" s="259"/>
      <c r="H31" s="248"/>
      <c r="I31" s="248"/>
      <c r="J31" s="252" t="s">
        <v>59</v>
      </c>
      <c r="K31" s="285">
        <v>277.02</v>
      </c>
    </row>
    <row r="32" s="207" customFormat="1" ht="49" customHeight="1" spans="1:10">
      <c r="A32" s="242" t="s">
        <v>60</v>
      </c>
      <c r="B32" s="255" t="s">
        <v>61</v>
      </c>
      <c r="C32" s="256"/>
      <c r="D32" s="257"/>
      <c r="E32" s="260">
        <f>(38.8*6.5%+(103.8-38.8)*6%+(163.9-103.8)*5.5%+(304.8-163.9)*5%+(E47-304.8)*4%)*0.8</f>
        <v>14.7725696</v>
      </c>
      <c r="F32" s="256">
        <f>E32</f>
        <v>14.7725696</v>
      </c>
      <c r="G32" s="259"/>
      <c r="H32" s="261"/>
      <c r="I32" s="248"/>
      <c r="J32" s="252" t="s">
        <v>62</v>
      </c>
    </row>
    <row r="33" s="207" customFormat="1" ht="43" customHeight="1" spans="1:10">
      <c r="A33" s="242" t="s">
        <v>63</v>
      </c>
      <c r="B33" s="255" t="s">
        <v>64</v>
      </c>
      <c r="C33" s="256"/>
      <c r="D33" s="257"/>
      <c r="E33" s="260"/>
      <c r="F33" s="256">
        <f>SUM(E34:E37)</f>
        <v>35.6798766104153</v>
      </c>
      <c r="G33" s="259"/>
      <c r="H33" s="261"/>
      <c r="I33" s="248"/>
      <c r="J33" s="252" t="s">
        <v>65</v>
      </c>
    </row>
    <row r="34" ht="33" customHeight="1" spans="1:10">
      <c r="A34" s="324" t="s">
        <v>66</v>
      </c>
      <c r="B34" s="252" t="s">
        <v>67</v>
      </c>
      <c r="C34" s="248"/>
      <c r="D34" s="263"/>
      <c r="E34" s="260">
        <f>((100*1+400*0.7+500*0.55+4000*0.35+5000*0.2+(F4-10000)*0.05)/100)*0.8</f>
        <v>28.5657798904</v>
      </c>
      <c r="F34" s="248">
        <f>E34</f>
        <v>28.5657798904</v>
      </c>
      <c r="G34" s="259"/>
      <c r="H34" s="261"/>
      <c r="I34" s="248"/>
      <c r="J34" s="252"/>
    </row>
    <row r="35" ht="33" customHeight="1" spans="1:10">
      <c r="A35" s="324" t="s">
        <v>68</v>
      </c>
      <c r="B35" s="252" t="s">
        <v>69</v>
      </c>
      <c r="C35" s="248"/>
      <c r="D35" s="263"/>
      <c r="E35" s="260">
        <f>((100*1.5+(E45+E46-100)*0.8)/100)*0.8</f>
        <v>1.7301123042176</v>
      </c>
      <c r="F35" s="248">
        <f>E35</f>
        <v>1.7301123042176</v>
      </c>
      <c r="G35" s="259"/>
      <c r="H35" s="261"/>
      <c r="I35" s="248"/>
      <c r="J35" s="252"/>
    </row>
    <row r="36" ht="33" customHeight="1" spans="1:10">
      <c r="A36" s="324" t="s">
        <v>70</v>
      </c>
      <c r="B36" s="252" t="s">
        <v>71</v>
      </c>
      <c r="C36" s="248"/>
      <c r="D36" s="263"/>
      <c r="E36" s="260">
        <f>((100*1.5+(E47-100)*0.8)/100)*0.8</f>
        <v>2.78163392</v>
      </c>
      <c r="F36" s="248">
        <f>E36</f>
        <v>2.78163392</v>
      </c>
      <c r="G36" s="259"/>
      <c r="H36" s="261"/>
      <c r="I36" s="248"/>
      <c r="J36" s="252"/>
    </row>
    <row r="37" ht="33" customHeight="1" spans="1:10">
      <c r="A37" s="324" t="s">
        <v>72</v>
      </c>
      <c r="B37" s="252" t="s">
        <v>73</v>
      </c>
      <c r="C37" s="248"/>
      <c r="D37" s="263"/>
      <c r="E37" s="260">
        <f>((100*1.5+(E41-100)*0.8)/100)*0.8</f>
        <v>2.60235049579766</v>
      </c>
      <c r="F37" s="248">
        <f>E37</f>
        <v>2.60235049579766</v>
      </c>
      <c r="G37" s="259"/>
      <c r="H37" s="261"/>
      <c r="I37" s="248"/>
      <c r="J37" s="252"/>
    </row>
    <row r="38" s="207" customFormat="1" ht="44" customHeight="1" spans="1:10">
      <c r="A38" s="242" t="s">
        <v>74</v>
      </c>
      <c r="B38" s="255" t="s">
        <v>75</v>
      </c>
      <c r="C38" s="256"/>
      <c r="D38" s="257"/>
      <c r="E38" s="248"/>
      <c r="F38" s="256">
        <f>SUM(E39:E40)</f>
        <v>94.13166588756</v>
      </c>
      <c r="G38" s="259"/>
      <c r="H38" s="248"/>
      <c r="I38" s="248"/>
      <c r="J38" s="286" t="s">
        <v>76</v>
      </c>
    </row>
    <row r="39" ht="33" customHeight="1" spans="1:10">
      <c r="A39" s="324" t="s">
        <v>77</v>
      </c>
      <c r="B39" s="252" t="s">
        <v>78</v>
      </c>
      <c r="C39" s="256"/>
      <c r="D39" s="257"/>
      <c r="E39" s="248">
        <f>((500*5+500*4.6+4000*4+5000*3.5+(F4-10000)*3)/1000)*0.7</f>
        <v>48.4703444246</v>
      </c>
      <c r="F39" s="248">
        <f>E39</f>
        <v>48.4703444246</v>
      </c>
      <c r="G39" s="259"/>
      <c r="H39" s="248"/>
      <c r="I39" s="248"/>
      <c r="J39" s="286"/>
    </row>
    <row r="40" ht="33" customHeight="1" spans="1:10">
      <c r="A40" s="324" t="s">
        <v>79</v>
      </c>
      <c r="B40" s="252" t="s">
        <v>80</v>
      </c>
      <c r="C40" s="256"/>
      <c r="D40" s="257"/>
      <c r="E40" s="248">
        <f>((500*4.9+500*4.4+4000*3.8+5000*3.3+(F4-10000)*2.8)/1000)*0.7</f>
        <v>45.66132146296</v>
      </c>
      <c r="F40" s="248">
        <f>E40</f>
        <v>45.66132146296</v>
      </c>
      <c r="G40" s="259"/>
      <c r="H40" s="248"/>
      <c r="I40" s="248"/>
      <c r="J40" s="286"/>
    </row>
    <row r="41" ht="51" customHeight="1" spans="1:10">
      <c r="A41" s="264">
        <v>3.5</v>
      </c>
      <c r="B41" s="255" t="s">
        <v>81</v>
      </c>
      <c r="C41" s="256"/>
      <c r="D41" s="257"/>
      <c r="E41" s="248">
        <f>(218.6+(393.4-218.6)*(F4-10000)/(20000-10000))*0.8</f>
        <v>319.117264968384</v>
      </c>
      <c r="F41" s="256">
        <f>E41</f>
        <v>319.117264968384</v>
      </c>
      <c r="G41" s="259"/>
      <c r="H41" s="248"/>
      <c r="I41" s="248"/>
      <c r="J41" s="252" t="s">
        <v>82</v>
      </c>
    </row>
    <row r="42" ht="33" customHeight="1" spans="1:10">
      <c r="A42" s="242" t="s">
        <v>83</v>
      </c>
      <c r="B42" s="255" t="s">
        <v>84</v>
      </c>
      <c r="C42" s="256"/>
      <c r="D42" s="257"/>
      <c r="E42" s="265"/>
      <c r="F42" s="256">
        <f>SUM(E43:E43)</f>
        <v>26</v>
      </c>
      <c r="G42" s="259"/>
      <c r="H42" s="248"/>
      <c r="I42" s="248"/>
      <c r="J42" s="252" t="s">
        <v>85</v>
      </c>
    </row>
    <row r="43" ht="33" customHeight="1" spans="1:10">
      <c r="A43" s="262">
        <v>4.1</v>
      </c>
      <c r="B43" s="252" t="s">
        <v>86</v>
      </c>
      <c r="C43" s="256"/>
      <c r="D43" s="257"/>
      <c r="E43" s="248">
        <v>26</v>
      </c>
      <c r="F43" s="248">
        <f>E43</f>
        <v>26</v>
      </c>
      <c r="G43" s="259"/>
      <c r="H43" s="248"/>
      <c r="I43" s="248"/>
      <c r="J43" s="252"/>
    </row>
    <row r="44" ht="33" customHeight="1" spans="1:10">
      <c r="A44" s="242" t="s">
        <v>87</v>
      </c>
      <c r="B44" s="255" t="s">
        <v>88</v>
      </c>
      <c r="C44" s="256"/>
      <c r="D44" s="257"/>
      <c r="E44" s="248"/>
      <c r="F44" s="256">
        <f>SUM(E45:E47)</f>
        <v>529.960347534</v>
      </c>
      <c r="G44" s="259"/>
      <c r="H44" s="248"/>
      <c r="I44" s="248"/>
      <c r="J44" s="286" t="s">
        <v>89</v>
      </c>
    </row>
    <row r="45" ht="33" customHeight="1" spans="1:10">
      <c r="A45" s="324" t="s">
        <v>66</v>
      </c>
      <c r="B45" s="252" t="s">
        <v>90</v>
      </c>
      <c r="C45" s="256"/>
      <c r="D45" s="257"/>
      <c r="E45" s="248">
        <f>(F4)*0.6/100</f>
        <v>121.886698356</v>
      </c>
      <c r="F45" s="248">
        <f>E45</f>
        <v>121.886698356</v>
      </c>
      <c r="G45" s="259"/>
      <c r="H45" s="248"/>
      <c r="I45" s="248"/>
      <c r="J45" s="286" t="s">
        <v>91</v>
      </c>
    </row>
    <row r="46" ht="33" customHeight="1" spans="1:10">
      <c r="A46" s="324" t="s">
        <v>68</v>
      </c>
      <c r="B46" s="252" t="s">
        <v>92</v>
      </c>
      <c r="C46" s="256"/>
      <c r="D46" s="257"/>
      <c r="E46" s="248">
        <f>(F4)*0.3/100</f>
        <v>60.943349178</v>
      </c>
      <c r="F46" s="248">
        <f>E46</f>
        <v>60.943349178</v>
      </c>
      <c r="G46" s="259"/>
      <c r="H46" s="248"/>
      <c r="I46" s="248"/>
      <c r="J46" s="286" t="s">
        <v>93</v>
      </c>
    </row>
    <row r="47" ht="51" customHeight="1" spans="1:10">
      <c r="A47" s="324" t="s">
        <v>70</v>
      </c>
      <c r="B47" s="252" t="s">
        <v>94</v>
      </c>
      <c r="C47" s="256"/>
      <c r="D47" s="257"/>
      <c r="E47" s="248">
        <f>((566.8+(1054-566.8)*(F4-20000)/(40000-20000)))*1*0.8*0+3471303/10000</f>
        <v>347.1303</v>
      </c>
      <c r="F47" s="248">
        <f>E47</f>
        <v>347.1303</v>
      </c>
      <c r="G47" s="259"/>
      <c r="H47" s="248"/>
      <c r="I47" s="248"/>
      <c r="J47" s="287" t="s">
        <v>95</v>
      </c>
    </row>
    <row r="48" ht="33" customHeight="1" spans="1:10">
      <c r="A48" s="242" t="s">
        <v>96</v>
      </c>
      <c r="B48" s="255" t="s">
        <v>97</v>
      </c>
      <c r="C48" s="256"/>
      <c r="D48" s="257"/>
      <c r="E48" s="248"/>
      <c r="F48" s="256">
        <f>SUM(F49,F51,F56:F63)</f>
        <v>4199.72153699741</v>
      </c>
      <c r="G48" s="259"/>
      <c r="H48" s="248"/>
      <c r="I48" s="248"/>
      <c r="J48" s="287"/>
    </row>
    <row r="49" s="7" customFormat="1" ht="33" customHeight="1" spans="1:10">
      <c r="A49" s="242" t="s">
        <v>98</v>
      </c>
      <c r="B49" s="255" t="s">
        <v>99</v>
      </c>
      <c r="C49" s="256"/>
      <c r="D49" s="257"/>
      <c r="E49" s="256"/>
      <c r="F49" s="256">
        <f>SUM(E50:E50)</f>
        <v>4.3</v>
      </c>
      <c r="G49" s="266"/>
      <c r="H49" s="256"/>
      <c r="I49" s="256"/>
      <c r="J49" s="286" t="s">
        <v>100</v>
      </c>
    </row>
    <row r="50" ht="33" customHeight="1" spans="1:10">
      <c r="A50" s="324" t="s">
        <v>66</v>
      </c>
      <c r="B50" s="252" t="s">
        <v>101</v>
      </c>
      <c r="C50" s="256"/>
      <c r="D50" s="257"/>
      <c r="E50" s="248">
        <v>4.3</v>
      </c>
      <c r="F50" s="248">
        <f>E50</f>
        <v>4.3</v>
      </c>
      <c r="G50" s="259"/>
      <c r="H50" s="248"/>
      <c r="I50" s="248"/>
      <c r="J50" s="286"/>
    </row>
    <row r="51" s="7" customFormat="1" ht="33" customHeight="1" spans="1:10">
      <c r="A51" s="242" t="s">
        <v>102</v>
      </c>
      <c r="B51" s="255" t="s">
        <v>103</v>
      </c>
      <c r="C51" s="256"/>
      <c r="D51" s="257"/>
      <c r="E51" s="267"/>
      <c r="F51" s="256">
        <f>SUM(E52:E55)</f>
        <v>97.741232440625</v>
      </c>
      <c r="G51" s="266"/>
      <c r="H51" s="268"/>
      <c r="I51" s="256"/>
      <c r="J51" s="288"/>
    </row>
    <row r="52" ht="33" customHeight="1" spans="1:10">
      <c r="A52" s="324" t="s">
        <v>66</v>
      </c>
      <c r="B52" s="252" t="s">
        <v>104</v>
      </c>
      <c r="C52" s="256"/>
      <c r="D52" s="257"/>
      <c r="E52" s="248">
        <f>((72-52)/(20000-10000)*(C4-10000)+52)*0.5</f>
        <v>36.237194381</v>
      </c>
      <c r="F52" s="248">
        <f>E52</f>
        <v>36.237194381</v>
      </c>
      <c r="G52" s="259"/>
      <c r="H52" s="248"/>
      <c r="I52" s="248"/>
      <c r="J52" s="286" t="s">
        <v>105</v>
      </c>
    </row>
    <row r="53" ht="33" customHeight="1" spans="1:10">
      <c r="A53" s="324" t="s">
        <v>106</v>
      </c>
      <c r="B53" s="252" t="s">
        <v>107</v>
      </c>
      <c r="C53" s="256"/>
      <c r="D53" s="257"/>
      <c r="E53" s="248">
        <f>((90-60)/(20000-10000)*(C4-10000)+60)*0.5</f>
        <v>45.3557915715</v>
      </c>
      <c r="F53" s="248">
        <f>E53</f>
        <v>45.3557915715</v>
      </c>
      <c r="G53" s="259"/>
      <c r="H53" s="248"/>
      <c r="I53" s="248"/>
      <c r="J53" s="286" t="s">
        <v>105</v>
      </c>
    </row>
    <row r="54" ht="33" customHeight="1" spans="1:10">
      <c r="A54" s="324" t="s">
        <v>70</v>
      </c>
      <c r="B54" s="252" t="s">
        <v>108</v>
      </c>
      <c r="C54" s="256"/>
      <c r="D54" s="257"/>
      <c r="E54" s="248">
        <f>((30-18)/(20000-10000)*(C4-10000)+18)*0.5</f>
        <v>15.1423166286</v>
      </c>
      <c r="F54" s="248">
        <f>E54</f>
        <v>15.1423166286</v>
      </c>
      <c r="G54" s="259"/>
      <c r="H54" s="248"/>
      <c r="I54" s="248"/>
      <c r="J54" s="286" t="s">
        <v>105</v>
      </c>
    </row>
    <row r="55" ht="33" customHeight="1" spans="1:10">
      <c r="A55" s="324" t="s">
        <v>109</v>
      </c>
      <c r="B55" s="252" t="s">
        <v>110</v>
      </c>
      <c r="C55" s="256"/>
      <c r="D55" s="257"/>
      <c r="E55" s="248">
        <f>((2-1.5)/(20000-10000)*(C4-10000)+1.5)*0.5</f>
        <v>1.005929859525</v>
      </c>
      <c r="F55" s="248">
        <f>E55</f>
        <v>1.005929859525</v>
      </c>
      <c r="G55" s="259"/>
      <c r="H55" s="248"/>
      <c r="I55" s="248"/>
      <c r="J55" s="286" t="s">
        <v>111</v>
      </c>
    </row>
    <row r="56" s="7" customFormat="1" ht="33" customHeight="1" spans="1:10">
      <c r="A56" s="242">
        <v>6.3</v>
      </c>
      <c r="B56" s="255" t="s">
        <v>112</v>
      </c>
      <c r="C56" s="256"/>
      <c r="D56" s="257"/>
      <c r="E56" s="248">
        <f>(H26+H27)*666.67*2/10000</f>
        <v>4.736</v>
      </c>
      <c r="F56" s="256">
        <f t="shared" ref="F56:F63" si="3">E56</f>
        <v>4.736</v>
      </c>
      <c r="G56" s="266"/>
      <c r="H56" s="256"/>
      <c r="I56" s="256"/>
      <c r="J56" s="252" t="s">
        <v>113</v>
      </c>
    </row>
    <row r="57" s="7" customFormat="1" ht="33" customHeight="1" spans="1:10">
      <c r="A57" s="242" t="s">
        <v>114</v>
      </c>
      <c r="B57" s="255" t="s">
        <v>115</v>
      </c>
      <c r="C57" s="256"/>
      <c r="D57" s="257"/>
      <c r="E57" s="248">
        <f>F4*0.5%</f>
        <v>101.57224863</v>
      </c>
      <c r="F57" s="256">
        <f t="shared" si="3"/>
        <v>101.57224863</v>
      </c>
      <c r="G57" s="266"/>
      <c r="H57" s="256"/>
      <c r="I57" s="256"/>
      <c r="J57" s="286" t="s">
        <v>116</v>
      </c>
    </row>
    <row r="58" s="7" customFormat="1" ht="33" customHeight="1" spans="1:10">
      <c r="A58" s="242" t="s">
        <v>117</v>
      </c>
      <c r="B58" s="255" t="s">
        <v>118</v>
      </c>
      <c r="C58" s="256"/>
      <c r="D58" s="257"/>
      <c r="E58" s="248">
        <f>F4*0.3%</f>
        <v>60.943349178</v>
      </c>
      <c r="F58" s="256">
        <f t="shared" si="3"/>
        <v>60.943349178</v>
      </c>
      <c r="G58" s="266"/>
      <c r="H58" s="256"/>
      <c r="I58" s="256"/>
      <c r="J58" s="286" t="s">
        <v>119</v>
      </c>
    </row>
    <row r="59" s="7" customFormat="1" ht="41" customHeight="1" spans="1:10">
      <c r="A59" s="242" t="s">
        <v>120</v>
      </c>
      <c r="B59" s="243" t="s">
        <v>121</v>
      </c>
      <c r="C59" s="244"/>
      <c r="D59" s="245"/>
      <c r="E59" s="246">
        <f>下穿铁路估算对比表!F44</f>
        <v>3456.5344</v>
      </c>
      <c r="F59" s="244">
        <f t="shared" si="3"/>
        <v>3456.5344</v>
      </c>
      <c r="G59" s="243" t="s">
        <v>122</v>
      </c>
      <c r="H59" s="256">
        <v>1</v>
      </c>
      <c r="I59" s="244"/>
      <c r="J59" s="252" t="s">
        <v>123</v>
      </c>
    </row>
    <row r="60" s="7" customFormat="1" ht="33" customHeight="1" spans="1:10">
      <c r="A60" s="264">
        <v>6.7</v>
      </c>
      <c r="B60" s="255" t="s">
        <v>124</v>
      </c>
      <c r="C60" s="255"/>
      <c r="D60" s="256"/>
      <c r="E60" s="248">
        <v>100</v>
      </c>
      <c r="F60" s="256">
        <f t="shared" si="3"/>
        <v>100</v>
      </c>
      <c r="G60" s="266"/>
      <c r="H60" s="269" t="s">
        <v>125</v>
      </c>
      <c r="I60" s="266"/>
      <c r="J60" s="252"/>
    </row>
    <row r="61" s="7" customFormat="1" ht="88" customHeight="1" spans="1:10">
      <c r="A61" s="242" t="s">
        <v>126</v>
      </c>
      <c r="B61" s="255" t="s">
        <v>127</v>
      </c>
      <c r="C61" s="256"/>
      <c r="D61" s="257"/>
      <c r="E61" s="248">
        <f>F4*0.7%</f>
        <v>142.201148082</v>
      </c>
      <c r="F61" s="256">
        <f t="shared" si="3"/>
        <v>142.201148082</v>
      </c>
      <c r="G61" s="266"/>
      <c r="H61" s="256"/>
      <c r="I61" s="256"/>
      <c r="J61" s="252" t="s">
        <v>128</v>
      </c>
    </row>
    <row r="62" s="210" customFormat="1" ht="30" customHeight="1" spans="1:10">
      <c r="A62" s="264">
        <v>6.9</v>
      </c>
      <c r="B62" s="270" t="s">
        <v>129</v>
      </c>
      <c r="C62" s="270"/>
      <c r="D62" s="271"/>
      <c r="E62" s="248">
        <f>(H27+H26+H28+H29)*2594/10000</f>
        <v>24.3466434667826</v>
      </c>
      <c r="F62" s="256">
        <f t="shared" si="3"/>
        <v>24.3466434667826</v>
      </c>
      <c r="G62" s="270"/>
      <c r="H62" s="269" t="s">
        <v>125</v>
      </c>
      <c r="I62" s="269"/>
      <c r="J62" s="252" t="s">
        <v>130</v>
      </c>
    </row>
    <row r="63" s="210" customFormat="1" ht="30" customHeight="1" spans="1:10">
      <c r="A63" s="272">
        <v>6.1</v>
      </c>
      <c r="B63" s="270" t="s">
        <v>131</v>
      </c>
      <c r="C63" s="270"/>
      <c r="D63" s="271"/>
      <c r="E63" s="248">
        <f>基坑监测!J21/10000</f>
        <v>207.3465152</v>
      </c>
      <c r="F63" s="256">
        <f t="shared" si="3"/>
        <v>207.3465152</v>
      </c>
      <c r="G63" s="270"/>
      <c r="H63" s="269" t="s">
        <v>125</v>
      </c>
      <c r="I63" s="269"/>
      <c r="J63" s="252" t="s">
        <v>132</v>
      </c>
    </row>
    <row r="64" ht="33" customHeight="1" spans="1:10">
      <c r="A64" s="242" t="s">
        <v>133</v>
      </c>
      <c r="B64" s="255" t="s">
        <v>134</v>
      </c>
      <c r="C64" s="252"/>
      <c r="D64" s="256"/>
      <c r="E64" s="248"/>
      <c r="F64" s="256">
        <f>SUM(E65:E69)</f>
        <v>161.62</v>
      </c>
      <c r="G64" s="259"/>
      <c r="H64" s="248"/>
      <c r="I64" s="259"/>
      <c r="J64" s="252" t="s">
        <v>135</v>
      </c>
    </row>
    <row r="65" s="207" customFormat="1" ht="37" customHeight="1" spans="1:10">
      <c r="A65" s="249" t="s">
        <v>136</v>
      </c>
      <c r="B65" s="252" t="s">
        <v>137</v>
      </c>
      <c r="C65" s="252"/>
      <c r="D65" s="248"/>
      <c r="E65" s="248">
        <v>35</v>
      </c>
      <c r="F65" s="248">
        <f>E65</f>
        <v>35</v>
      </c>
      <c r="G65" s="259"/>
      <c r="H65" s="248"/>
      <c r="I65" s="259"/>
      <c r="J65" s="252" t="s">
        <v>138</v>
      </c>
    </row>
    <row r="66" s="207" customFormat="1" ht="33" customHeight="1" spans="1:10">
      <c r="A66" s="249" t="s">
        <v>139</v>
      </c>
      <c r="B66" s="252" t="s">
        <v>140</v>
      </c>
      <c r="C66" s="252"/>
      <c r="D66" s="248"/>
      <c r="E66" s="248">
        <v>20</v>
      </c>
      <c r="F66" s="248">
        <f>E66</f>
        <v>20</v>
      </c>
      <c r="G66" s="259"/>
      <c r="H66" s="248"/>
      <c r="I66" s="259"/>
      <c r="J66" s="252" t="s">
        <v>135</v>
      </c>
    </row>
    <row r="67" customFormat="1" ht="33" customHeight="1" spans="1:10">
      <c r="A67" s="249" t="s">
        <v>141</v>
      </c>
      <c r="B67" s="252" t="s">
        <v>142</v>
      </c>
      <c r="C67" s="252"/>
      <c r="D67" s="256"/>
      <c r="E67" s="248">
        <v>56</v>
      </c>
      <c r="F67" s="248">
        <f>E67</f>
        <v>56</v>
      </c>
      <c r="G67" s="259"/>
      <c r="H67" s="289" t="s">
        <v>125</v>
      </c>
      <c r="I67" s="259"/>
      <c r="J67" s="252" t="s">
        <v>85</v>
      </c>
    </row>
    <row r="68" s="207" customFormat="1" ht="33" customHeight="1" spans="1:10">
      <c r="A68" s="249" t="s">
        <v>143</v>
      </c>
      <c r="B68" s="252" t="s">
        <v>144</v>
      </c>
      <c r="C68" s="248"/>
      <c r="D68" s="263"/>
      <c r="E68" s="248">
        <v>19.6</v>
      </c>
      <c r="F68" s="248">
        <f>E68</f>
        <v>19.6</v>
      </c>
      <c r="G68" s="259"/>
      <c r="H68" s="289" t="s">
        <v>125</v>
      </c>
      <c r="I68" s="248"/>
      <c r="J68" s="317" t="s">
        <v>145</v>
      </c>
    </row>
    <row r="69" s="207" customFormat="1" ht="93" customHeight="1" spans="1:10">
      <c r="A69" s="249" t="s">
        <v>146</v>
      </c>
      <c r="B69" s="252" t="s">
        <v>147</v>
      </c>
      <c r="C69" s="248"/>
      <c r="D69" s="263"/>
      <c r="E69" s="248">
        <f>20680*10*1.5/10000</f>
        <v>31.02</v>
      </c>
      <c r="F69" s="248">
        <f>E69</f>
        <v>31.02</v>
      </c>
      <c r="G69" s="259"/>
      <c r="H69" s="289" t="s">
        <v>125</v>
      </c>
      <c r="I69" s="248"/>
      <c r="J69" s="252" t="s">
        <v>148</v>
      </c>
    </row>
    <row r="70" ht="33" customHeight="1" spans="1:10">
      <c r="A70" s="290" t="s">
        <v>13</v>
      </c>
      <c r="B70" s="291" t="s">
        <v>149</v>
      </c>
      <c r="C70" s="292"/>
      <c r="D70" s="293"/>
      <c r="E70" s="292"/>
      <c r="F70" s="292">
        <f>F4</f>
        <v>20314.449726</v>
      </c>
      <c r="G70" s="294"/>
      <c r="H70" s="295"/>
      <c r="I70" s="294"/>
      <c r="J70" s="283"/>
    </row>
    <row r="71" ht="33" customHeight="1" spans="1:10">
      <c r="A71" s="290" t="s">
        <v>31</v>
      </c>
      <c r="B71" s="291" t="s">
        <v>150</v>
      </c>
      <c r="C71" s="292"/>
      <c r="D71" s="293"/>
      <c r="E71" s="292"/>
      <c r="F71" s="292">
        <f>F17</f>
        <v>6566.09542038697</v>
      </c>
      <c r="G71" s="294"/>
      <c r="H71" s="295"/>
      <c r="I71" s="294"/>
      <c r="J71" s="283"/>
    </row>
    <row r="72" ht="52" customHeight="1" spans="1:10">
      <c r="A72" s="290" t="s">
        <v>151</v>
      </c>
      <c r="B72" s="296" t="s">
        <v>152</v>
      </c>
      <c r="C72" s="292"/>
      <c r="D72" s="293"/>
      <c r="E72" s="292"/>
      <c r="F72" s="292">
        <f>(F70+F71-F25-F59-F18)*0.05</f>
        <v>1125.99842937989</v>
      </c>
      <c r="G72" s="297"/>
      <c r="H72" s="294"/>
      <c r="I72" s="294"/>
      <c r="J72" s="297" t="s">
        <v>153</v>
      </c>
    </row>
    <row r="73" ht="33" customHeight="1" spans="1:10">
      <c r="A73" s="298"/>
      <c r="B73" s="299" t="s">
        <v>154</v>
      </c>
      <c r="C73" s="300"/>
      <c r="D73" s="301"/>
      <c r="E73" s="300"/>
      <c r="F73" s="300">
        <f>SUM(F70:F72)</f>
        <v>28006.5435757669</v>
      </c>
      <c r="G73" s="259"/>
      <c r="H73" s="248"/>
      <c r="I73" s="259"/>
      <c r="J73" s="8"/>
    </row>
    <row r="74" ht="34" customHeight="1" spans="1:11">
      <c r="A74" s="290" t="s">
        <v>155</v>
      </c>
      <c r="B74" s="291" t="s">
        <v>156</v>
      </c>
      <c r="C74" s="302"/>
      <c r="D74" s="303"/>
      <c r="E74" s="302"/>
      <c r="F74" s="292">
        <f>(0.35*F73/2*3.8%+(0.35*F73+0.35*F73/2*3.8%+0.35*F73/2)*3.8%)*0</f>
        <v>0</v>
      </c>
      <c r="G74" s="294"/>
      <c r="H74" s="295"/>
      <c r="I74" s="294"/>
      <c r="J74" s="283" t="s">
        <v>157</v>
      </c>
      <c r="K74" s="318"/>
    </row>
    <row r="75" ht="33" customHeight="1" spans="1:13">
      <c r="A75" s="290" t="s">
        <v>158</v>
      </c>
      <c r="B75" s="291" t="s">
        <v>159</v>
      </c>
      <c r="C75" s="302"/>
      <c r="D75" s="303"/>
      <c r="E75" s="302"/>
      <c r="F75" s="292">
        <f>F70+F71+F72+F74</f>
        <v>28006.5435757669</v>
      </c>
      <c r="G75" s="294"/>
      <c r="H75" s="295"/>
      <c r="I75" s="294"/>
      <c r="J75" s="283"/>
      <c r="K75" s="319">
        <v>27603.54</v>
      </c>
      <c r="L75">
        <v>25604.8</v>
      </c>
      <c r="M75" s="320">
        <f>F75/L75</f>
        <v>1.09380052083074</v>
      </c>
    </row>
    <row r="76" ht="33" customHeight="1" spans="1:10">
      <c r="A76" s="304"/>
      <c r="B76" s="305"/>
      <c r="C76" s="305"/>
      <c r="D76" s="306"/>
      <c r="E76" s="305"/>
      <c r="F76" s="305"/>
      <c r="G76" s="305"/>
      <c r="H76" s="307"/>
      <c r="I76" s="305"/>
      <c r="J76" s="305"/>
    </row>
    <row r="77" ht="33" customHeight="1" spans="1:10">
      <c r="A77" s="304"/>
      <c r="B77" s="305"/>
      <c r="C77" s="305"/>
      <c r="D77" s="306"/>
      <c r="E77" s="305"/>
      <c r="F77" s="308">
        <f>F75*10000</f>
        <v>280065435.757669</v>
      </c>
      <c r="G77" s="305"/>
      <c r="H77" s="309">
        <f>F77</f>
        <v>280065435.757669</v>
      </c>
      <c r="I77" s="309"/>
      <c r="J77" s="309"/>
    </row>
    <row r="78" ht="33" customHeight="1" spans="1:10">
      <c r="A78" s="304"/>
      <c r="B78" s="305"/>
      <c r="C78" s="310" t="s">
        <v>160</v>
      </c>
      <c r="D78" s="311" t="s">
        <v>161</v>
      </c>
      <c r="E78" s="311" t="s">
        <v>162</v>
      </c>
      <c r="F78" s="311" t="s">
        <v>163</v>
      </c>
      <c r="G78" s="311" t="s">
        <v>164</v>
      </c>
      <c r="H78" s="307"/>
      <c r="I78" s="305"/>
      <c r="J78" s="305"/>
    </row>
    <row r="79" ht="33" customHeight="1" spans="1:13">
      <c r="A79" s="304"/>
      <c r="B79" s="305"/>
      <c r="C79" s="312">
        <v>1</v>
      </c>
      <c r="D79" s="313" t="s">
        <v>165</v>
      </c>
      <c r="E79" s="314">
        <f>F4</f>
        <v>20314.449726</v>
      </c>
      <c r="F79" s="315">
        <f>E79/$F$75</f>
        <v>0.725346548782172</v>
      </c>
      <c r="G79" s="313"/>
      <c r="H79" s="307"/>
      <c r="I79" s="305"/>
      <c r="J79" s="305"/>
      <c r="K79" s="2"/>
      <c r="L79" s="184"/>
      <c r="M79" s="184"/>
    </row>
    <row r="80" ht="33" customHeight="1" spans="1:13">
      <c r="A80" s="304"/>
      <c r="B80" s="305"/>
      <c r="C80" s="312">
        <v>2</v>
      </c>
      <c r="D80" s="313" t="s">
        <v>166</v>
      </c>
      <c r="E80" s="314">
        <f>F17</f>
        <v>6566.09542038697</v>
      </c>
      <c r="F80" s="315">
        <f>E80/$F$75</f>
        <v>0.234448617431977</v>
      </c>
      <c r="G80" s="313"/>
      <c r="H80" s="307"/>
      <c r="I80" s="305"/>
      <c r="J80" s="321"/>
      <c r="K80" s="2"/>
      <c r="L80" s="3"/>
      <c r="M80" s="3"/>
    </row>
    <row r="81" ht="33" customHeight="1" spans="1:13">
      <c r="A81" s="304"/>
      <c r="B81" s="305"/>
      <c r="C81" s="312">
        <v>3</v>
      </c>
      <c r="D81" s="313" t="s">
        <v>167</v>
      </c>
      <c r="E81" s="314">
        <f>F72</f>
        <v>1125.99842937989</v>
      </c>
      <c r="F81" s="315">
        <f>E81/$F$75</f>
        <v>0.0402048337858506</v>
      </c>
      <c r="G81" s="313"/>
      <c r="H81" s="307"/>
      <c r="I81" s="305"/>
      <c r="J81" s="321"/>
      <c r="K81" s="322"/>
      <c r="L81" s="3"/>
      <c r="M81" s="3"/>
    </row>
    <row r="82" ht="33" customHeight="1" spans="1:13">
      <c r="A82" s="306"/>
      <c r="B82" s="305"/>
      <c r="C82" s="312">
        <v>4</v>
      </c>
      <c r="D82" s="313" t="s">
        <v>168</v>
      </c>
      <c r="E82" s="314">
        <f>F74</f>
        <v>0</v>
      </c>
      <c r="F82" s="315">
        <f>E82/$F$75</f>
        <v>0</v>
      </c>
      <c r="G82" s="313"/>
      <c r="H82" s="307"/>
      <c r="I82" s="305"/>
      <c r="J82" s="305"/>
      <c r="K82" s="2"/>
      <c r="L82" s="3"/>
      <c r="M82" s="3"/>
    </row>
    <row r="83" ht="33" customHeight="1" spans="1:13">
      <c r="A83" s="306"/>
      <c r="B83" s="305"/>
      <c r="C83" s="312">
        <v>5</v>
      </c>
      <c r="D83" s="313" t="s">
        <v>169</v>
      </c>
      <c r="E83" s="314">
        <f>F75</f>
        <v>28006.5435757669</v>
      </c>
      <c r="F83" s="315">
        <f>E83/$F$75</f>
        <v>1</v>
      </c>
      <c r="G83" s="316"/>
      <c r="H83" s="307"/>
      <c r="I83" s="305"/>
      <c r="J83" s="305"/>
      <c r="K83" s="2"/>
      <c r="L83" s="3"/>
      <c r="M83" s="3"/>
    </row>
    <row r="84" ht="30" customHeight="1" spans="1:11">
      <c r="A84" s="306"/>
      <c r="B84" s="305"/>
      <c r="K84" s="212"/>
    </row>
    <row r="85" ht="15" spans="1:11">
      <c r="A85" s="306"/>
      <c r="B85" s="305"/>
      <c r="K85" s="212"/>
    </row>
    <row r="86" spans="11:11">
      <c r="K86" s="212"/>
    </row>
    <row r="90" spans="8:8">
      <c r="H90" s="212">
        <v>56.16</v>
      </c>
    </row>
    <row r="91" spans="5:8">
      <c r="E91" s="212">
        <f>F73*0.7+F74</f>
        <v>19604.5805030368</v>
      </c>
      <c r="H91" s="212">
        <f>F75/30</f>
        <v>933.551452525562</v>
      </c>
    </row>
    <row r="93" spans="8:10">
      <c r="H93" s="212">
        <f>F75*2%</f>
        <v>560.130871515337</v>
      </c>
      <c r="I93" s="212">
        <f>(H90+H91)*1.1+H93</f>
        <v>1648.81346929346</v>
      </c>
      <c r="J93" s="212">
        <f>I93/6241.5</f>
        <v>0.264169425505641</v>
      </c>
    </row>
    <row r="94" spans="9:9">
      <c r="I94" s="212">
        <f>H93+H90</f>
        <v>616.290871515337</v>
      </c>
    </row>
    <row r="95" spans="8:8">
      <c r="H95" s="212">
        <f>19*365*0.9</f>
        <v>6241.5</v>
      </c>
    </row>
  </sheetData>
  <mergeCells count="6">
    <mergeCell ref="A1:J1"/>
    <mergeCell ref="C2:F2"/>
    <mergeCell ref="G2:I2"/>
    <mergeCell ref="H77:J77"/>
    <mergeCell ref="A2:A3"/>
    <mergeCell ref="B2:B3"/>
  </mergeCells>
  <printOptions horizontalCentered="1" gridLines="1"/>
  <pageMargins left="0.314583333333333" right="0.314583333333333" top="0.984027777777778" bottom="0.786805555555556" header="0.511805555555556" footer="0.511805555555556"/>
  <pageSetup paperSize="9" scale="91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H19" sqref="H19"/>
    </sheetView>
  </sheetViews>
  <sheetFormatPr defaultColWidth="9" defaultRowHeight="13.5"/>
  <cols>
    <col min="1" max="1" width="14.625" customWidth="1"/>
    <col min="2" max="2" width="9.125" hidden="1" customWidth="1"/>
    <col min="3" max="3" width="10.875" hidden="1" customWidth="1"/>
    <col min="4" max="4" width="11.625" hidden="1" customWidth="1"/>
    <col min="5" max="6" width="11.25" hidden="1" customWidth="1"/>
    <col min="7" max="7" width="12.375" hidden="1" customWidth="1"/>
    <col min="8" max="8" width="13.125" customWidth="1"/>
    <col min="9" max="9" width="13" customWidth="1"/>
    <col min="10" max="10" width="12.875" customWidth="1"/>
    <col min="11" max="11" width="12.625" customWidth="1"/>
  </cols>
  <sheetData>
    <row r="1" ht="33" customHeight="1" spans="1:11">
      <c r="A1" s="2" t="s">
        <v>170</v>
      </c>
      <c r="B1" s="2" t="s">
        <v>171</v>
      </c>
      <c r="C1" s="2" t="s">
        <v>172</v>
      </c>
      <c r="D1" s="2" t="s">
        <v>173</v>
      </c>
      <c r="E1" s="2" t="s">
        <v>174</v>
      </c>
      <c r="F1" s="2" t="s">
        <v>175</v>
      </c>
      <c r="G1" s="2" t="s">
        <v>176</v>
      </c>
      <c r="H1" s="2" t="s">
        <v>177</v>
      </c>
      <c r="I1" s="2" t="s">
        <v>178</v>
      </c>
      <c r="J1" s="2" t="s">
        <v>179</v>
      </c>
      <c r="K1" s="2" t="s">
        <v>180</v>
      </c>
    </row>
    <row r="2" ht="33" customHeight="1" spans="1:11">
      <c r="A2" s="8" t="s">
        <v>16</v>
      </c>
      <c r="B2" s="2"/>
      <c r="C2" s="2">
        <v>20</v>
      </c>
      <c r="D2" s="2">
        <v>30</v>
      </c>
      <c r="E2" s="2">
        <v>30</v>
      </c>
      <c r="F2" s="2">
        <v>30</v>
      </c>
      <c r="G2" s="2"/>
      <c r="H2" s="2"/>
      <c r="I2" s="2"/>
      <c r="J2" s="2"/>
      <c r="K2" s="2"/>
    </row>
    <row r="3" ht="33" customHeight="1" spans="1:11">
      <c r="A3" s="8" t="s">
        <v>17</v>
      </c>
      <c r="B3" s="2">
        <v>30</v>
      </c>
      <c r="C3" s="2">
        <v>50</v>
      </c>
      <c r="D3" s="2">
        <v>50</v>
      </c>
      <c r="E3" s="2">
        <v>200</v>
      </c>
      <c r="F3" s="2">
        <v>200</v>
      </c>
      <c r="G3" s="2"/>
      <c r="H3" s="2"/>
      <c r="I3" s="2">
        <v>300</v>
      </c>
      <c r="J3" s="2"/>
      <c r="K3" s="2">
        <v>300</v>
      </c>
    </row>
    <row r="4" ht="33" customHeight="1" spans="1:11">
      <c r="A4" s="8" t="s">
        <v>18</v>
      </c>
      <c r="B4" s="2"/>
      <c r="C4" s="2">
        <v>50</v>
      </c>
      <c r="D4" s="2">
        <v>50</v>
      </c>
      <c r="E4" s="2">
        <v>40</v>
      </c>
      <c r="F4" s="2">
        <v>40</v>
      </c>
      <c r="G4" s="2">
        <v>30</v>
      </c>
      <c r="H4" s="2"/>
      <c r="I4" s="2"/>
      <c r="J4" s="2"/>
      <c r="K4" s="2"/>
    </row>
    <row r="5" ht="33" customHeight="1" spans="1:11">
      <c r="A5" s="8" t="s">
        <v>19</v>
      </c>
      <c r="B5" s="2"/>
      <c r="C5" s="2">
        <v>100</v>
      </c>
      <c r="D5" s="2">
        <v>120</v>
      </c>
      <c r="E5" s="2">
        <v>60</v>
      </c>
      <c r="F5" s="2">
        <v>80</v>
      </c>
      <c r="G5" s="2">
        <v>20</v>
      </c>
      <c r="H5" s="2"/>
      <c r="I5" s="2"/>
      <c r="J5" s="2"/>
      <c r="K5" s="2"/>
    </row>
    <row r="6" ht="33" customHeight="1" spans="1:11">
      <c r="A6" s="8" t="s">
        <v>20</v>
      </c>
      <c r="B6" s="2"/>
      <c r="C6" s="2">
        <v>120</v>
      </c>
      <c r="D6" s="2">
        <v>50</v>
      </c>
      <c r="E6" s="2">
        <v>50</v>
      </c>
      <c r="F6" s="2">
        <v>30</v>
      </c>
      <c r="G6" s="2">
        <v>20</v>
      </c>
      <c r="H6" s="2"/>
      <c r="I6" s="2"/>
      <c r="J6" s="2"/>
      <c r="K6" s="2"/>
    </row>
    <row r="7" ht="33" customHeight="1" spans="1:11">
      <c r="A7" s="8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ht="33" customHeight="1" spans="1:11">
      <c r="A8" s="8" t="s">
        <v>27</v>
      </c>
      <c r="B8" s="2">
        <v>300</v>
      </c>
      <c r="C8" s="2"/>
      <c r="D8" s="2">
        <v>400</v>
      </c>
      <c r="E8" s="2">
        <v>350</v>
      </c>
      <c r="F8" s="2">
        <v>350</v>
      </c>
      <c r="G8" s="2"/>
      <c r="H8" s="2">
        <v>16450</v>
      </c>
      <c r="I8" s="2"/>
      <c r="J8" s="2">
        <v>16450</v>
      </c>
      <c r="K8" s="2">
        <v>16450</v>
      </c>
    </row>
    <row r="9" ht="33" customHeight="1" spans="1:11">
      <c r="A9" s="8" t="s">
        <v>29</v>
      </c>
      <c r="B9" s="2">
        <v>300</v>
      </c>
      <c r="C9" s="2"/>
      <c r="D9" s="2">
        <v>600</v>
      </c>
      <c r="E9" s="2">
        <v>450</v>
      </c>
      <c r="F9" s="2">
        <v>450</v>
      </c>
      <c r="G9" s="2"/>
      <c r="H9" s="2"/>
      <c r="I9" s="2"/>
      <c r="J9" s="2">
        <v>742</v>
      </c>
      <c r="K9" s="2"/>
    </row>
    <row r="10" ht="33" customHeight="1" spans="1:11">
      <c r="A10" s="8" t="s">
        <v>181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ht="33" customHeight="1" spans="1:11">
      <c r="A11" s="8" t="s">
        <v>182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ht="33" customHeight="1" spans="1:11">
      <c r="A12" s="8" t="s">
        <v>183</v>
      </c>
      <c r="B12" s="2"/>
      <c r="C12" s="2"/>
      <c r="D12" s="2"/>
      <c r="E12" s="2"/>
      <c r="F12" s="2"/>
      <c r="G12" s="2"/>
      <c r="H12" s="203">
        <f>6930</f>
        <v>6930</v>
      </c>
      <c r="I12" s="2"/>
      <c r="J12" s="203">
        <f>4950</f>
        <v>4950</v>
      </c>
      <c r="K12" s="2"/>
    </row>
    <row r="13" ht="33" customHeight="1" spans="1:11">
      <c r="A13" s="9" t="s">
        <v>184</v>
      </c>
      <c r="B13" s="9">
        <f t="shared" ref="B13:K13" si="0">SUM(B2:B12)</f>
        <v>630</v>
      </c>
      <c r="C13" s="9">
        <f t="shared" si="0"/>
        <v>340</v>
      </c>
      <c r="D13" s="9">
        <f t="shared" si="0"/>
        <v>1300</v>
      </c>
      <c r="E13" s="9">
        <f t="shared" si="0"/>
        <v>1180</v>
      </c>
      <c r="F13" s="9">
        <f t="shared" si="0"/>
        <v>1180</v>
      </c>
      <c r="G13" s="9">
        <f t="shared" si="0"/>
        <v>70</v>
      </c>
      <c r="H13" s="9">
        <f t="shared" si="0"/>
        <v>23380</v>
      </c>
      <c r="I13" s="9">
        <f t="shared" si="0"/>
        <v>300</v>
      </c>
      <c r="J13" s="9">
        <f t="shared" si="0"/>
        <v>22142</v>
      </c>
      <c r="K13" s="9">
        <f t="shared" si="0"/>
        <v>16750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8"/>
  <sheetViews>
    <sheetView zoomScale="85" zoomScaleNormal="85" topLeftCell="A54" workbookViewId="0">
      <selection activeCell="A2" sqref="A2:J77"/>
    </sheetView>
  </sheetViews>
  <sheetFormatPr defaultColWidth="9" defaultRowHeight="15"/>
  <cols>
    <col min="1" max="1" width="9" style="131"/>
    <col min="2" max="2" width="25.25" style="131" customWidth="1"/>
    <col min="3" max="3" width="15.25" style="131" customWidth="1"/>
    <col min="4" max="4" width="14.85" style="131" customWidth="1"/>
    <col min="5" max="5" width="9.7" style="131" customWidth="1"/>
    <col min="6" max="6" width="16.875" style="131" customWidth="1"/>
    <col min="7" max="7" width="9" style="131"/>
    <col min="8" max="8" width="9.375" style="131"/>
    <col min="9" max="9" width="16.625" style="131" customWidth="1"/>
    <col min="10" max="10" width="30.7333333333333" style="131" customWidth="1"/>
    <col min="15" max="17" width="9" customWidth="1"/>
    <col min="18" max="20" width="12.625" customWidth="1"/>
    <col min="21" max="22" width="13.75" customWidth="1"/>
    <col min="23" max="25" width="9" customWidth="1"/>
  </cols>
  <sheetData>
    <row r="1" ht="14.25" spans="1:10">
      <c r="A1" s="132" t="s">
        <v>185</v>
      </c>
      <c r="B1" s="133"/>
      <c r="C1" s="133"/>
      <c r="D1" s="133"/>
      <c r="E1" s="133"/>
      <c r="F1" s="133"/>
      <c r="G1" s="133"/>
      <c r="H1" s="133"/>
      <c r="I1" s="133"/>
      <c r="J1" s="181"/>
    </row>
    <row r="2" s="130" customFormat="1" ht="21" customHeight="1" spans="1:10">
      <c r="A2" s="134" t="s">
        <v>186</v>
      </c>
      <c r="B2" s="135" t="s">
        <v>187</v>
      </c>
      <c r="C2" s="136" t="s">
        <v>188</v>
      </c>
      <c r="D2" s="136"/>
      <c r="E2" s="136"/>
      <c r="F2" s="136"/>
      <c r="G2" s="137" t="s">
        <v>189</v>
      </c>
      <c r="H2" s="137"/>
      <c r="I2" s="137"/>
      <c r="J2" s="136" t="s">
        <v>190</v>
      </c>
    </row>
    <row r="3" s="130" customFormat="1" ht="39" customHeight="1" spans="1:22">
      <c r="A3" s="138"/>
      <c r="B3" s="139"/>
      <c r="C3" s="136" t="s">
        <v>191</v>
      </c>
      <c r="D3" s="140" t="s">
        <v>192</v>
      </c>
      <c r="E3" s="136" t="s">
        <v>193</v>
      </c>
      <c r="F3" s="136" t="s">
        <v>194</v>
      </c>
      <c r="G3" s="136" t="s">
        <v>195</v>
      </c>
      <c r="H3" s="141" t="s">
        <v>196</v>
      </c>
      <c r="I3" s="140" t="s">
        <v>197</v>
      </c>
      <c r="J3" s="136"/>
      <c r="P3" s="130" t="s">
        <v>198</v>
      </c>
      <c r="Q3" s="130" t="s">
        <v>199</v>
      </c>
      <c r="T3" s="130">
        <v>4867.77</v>
      </c>
      <c r="U3" s="130">
        <v>-475.224432</v>
      </c>
      <c r="V3" s="130">
        <v>-0.0889434638287866</v>
      </c>
    </row>
    <row r="4" s="130" customFormat="1" ht="21" customHeight="1" spans="1:22">
      <c r="A4" s="142" t="s">
        <v>13</v>
      </c>
      <c r="B4" s="143" t="s">
        <v>200</v>
      </c>
      <c r="C4" s="144">
        <f>SUM(C5:C10,C13:C16)</f>
        <v>18948.31</v>
      </c>
      <c r="D4" s="144">
        <f>SUM(D5:D10,D13:D16)</f>
        <v>67.3</v>
      </c>
      <c r="E4" s="144">
        <f>SUM(E5:E10,E13:E16)</f>
        <v>0</v>
      </c>
      <c r="F4" s="144">
        <f>SUM(C4:E4)</f>
        <v>19015.61</v>
      </c>
      <c r="G4" s="143" t="s">
        <v>15</v>
      </c>
      <c r="H4" s="145">
        <f>SUM(H5:H9,H13:H16)</f>
        <v>18301</v>
      </c>
      <c r="I4" s="144">
        <f t="shared" ref="I4:I11" si="0">C4/H4*10000</f>
        <v>10353.7019834982</v>
      </c>
      <c r="J4" s="146"/>
      <c r="P4" s="130">
        <v>1</v>
      </c>
      <c r="Q4" s="130" t="s">
        <v>16</v>
      </c>
      <c r="T4" s="130">
        <v>386.72</v>
      </c>
      <c r="U4" s="130">
        <v>-30.893567</v>
      </c>
      <c r="V4" s="130">
        <v>-0.0739764448313528</v>
      </c>
    </row>
    <row r="5" s="130" customFormat="1" ht="21" customHeight="1" spans="1:22">
      <c r="A5" s="146">
        <v>1</v>
      </c>
      <c r="B5" s="146" t="s">
        <v>201</v>
      </c>
      <c r="C5" s="147">
        <f>T5</f>
        <v>386.72</v>
      </c>
      <c r="D5" s="146"/>
      <c r="E5" s="144"/>
      <c r="F5" s="144">
        <f>C5+D5+E5</f>
        <v>386.72</v>
      </c>
      <c r="G5" s="143" t="s">
        <v>15</v>
      </c>
      <c r="H5" s="148">
        <f>248+10+22</f>
        <v>280</v>
      </c>
      <c r="I5" s="147">
        <f t="shared" si="0"/>
        <v>13811.4285714286</v>
      </c>
      <c r="J5" s="149"/>
      <c r="Q5" s="130" t="s">
        <v>202</v>
      </c>
      <c r="R5" s="130">
        <v>269</v>
      </c>
      <c r="S5" s="130">
        <v>14376.2081784387</v>
      </c>
      <c r="T5" s="130">
        <v>386.72</v>
      </c>
      <c r="U5" s="130">
        <v>-30.893567</v>
      </c>
      <c r="V5" s="130">
        <v>-0.0739764448313528</v>
      </c>
    </row>
    <row r="6" s="130" customFormat="1" ht="21" customHeight="1" spans="1:22">
      <c r="A6" s="146">
        <v>2</v>
      </c>
      <c r="B6" s="146" t="s">
        <v>203</v>
      </c>
      <c r="C6" s="147">
        <f>T6</f>
        <v>1091.23</v>
      </c>
      <c r="D6" s="146"/>
      <c r="E6" s="147"/>
      <c r="F6" s="144">
        <f t="shared" ref="F6:F16" si="1">C6+D6+E6</f>
        <v>1091.23</v>
      </c>
      <c r="G6" s="146" t="s">
        <v>15</v>
      </c>
      <c r="H6" s="148">
        <f>797+20+47+18</f>
        <v>882</v>
      </c>
      <c r="I6" s="147">
        <f t="shared" si="0"/>
        <v>12372.2222222222</v>
      </c>
      <c r="J6" s="149"/>
      <c r="P6" s="130">
        <v>2</v>
      </c>
      <c r="Q6" s="130" t="s">
        <v>17</v>
      </c>
      <c r="T6" s="130">
        <v>1091.23</v>
      </c>
      <c r="U6" s="130">
        <v>-45.9883299999999</v>
      </c>
      <c r="V6" s="130">
        <v>-0.0404393147620122</v>
      </c>
    </row>
    <row r="7" s="130" customFormat="1" ht="21" customHeight="1" spans="1:22">
      <c r="A7" s="146">
        <v>3</v>
      </c>
      <c r="B7" s="146" t="s">
        <v>204</v>
      </c>
      <c r="C7" s="147">
        <f>T8</f>
        <v>296.83</v>
      </c>
      <c r="D7" s="146"/>
      <c r="E7" s="147"/>
      <c r="F7" s="144">
        <f t="shared" si="1"/>
        <v>296.83</v>
      </c>
      <c r="G7" s="146" t="s">
        <v>15</v>
      </c>
      <c r="H7" s="148">
        <f>193+16+10</f>
        <v>219</v>
      </c>
      <c r="I7" s="147">
        <f t="shared" si="0"/>
        <v>13553.8812785388</v>
      </c>
      <c r="J7" s="149"/>
      <c r="Q7" s="130" t="s">
        <v>205</v>
      </c>
      <c r="R7" s="130">
        <v>850</v>
      </c>
      <c r="S7" s="130">
        <v>12838</v>
      </c>
      <c r="T7" s="130">
        <v>1091.23</v>
      </c>
      <c r="U7" s="130">
        <v>-45.9883299999999</v>
      </c>
      <c r="V7" s="130">
        <v>-0.0404393147620122</v>
      </c>
    </row>
    <row r="8" s="130" customFormat="1" ht="21" customHeight="1" spans="1:22">
      <c r="A8" s="146">
        <v>4</v>
      </c>
      <c r="B8" s="146" t="s">
        <v>206</v>
      </c>
      <c r="C8" s="147">
        <f>T10</f>
        <v>784.93</v>
      </c>
      <c r="D8" s="146"/>
      <c r="E8" s="147"/>
      <c r="F8" s="144">
        <f t="shared" si="1"/>
        <v>784.93</v>
      </c>
      <c r="G8" s="146" t="s">
        <v>15</v>
      </c>
      <c r="H8" s="148">
        <f>1116+85+220+89+70+300</f>
        <v>1880</v>
      </c>
      <c r="I8" s="147">
        <f t="shared" si="0"/>
        <v>4175.15957446808</v>
      </c>
      <c r="J8" s="149"/>
      <c r="P8" s="130">
        <v>3</v>
      </c>
      <c r="Q8" s="130" t="s">
        <v>18</v>
      </c>
      <c r="T8" s="130">
        <v>296.83</v>
      </c>
      <c r="U8" s="130">
        <v>-16.89778</v>
      </c>
      <c r="V8" s="130">
        <v>-0.053861280629978</v>
      </c>
    </row>
    <row r="9" s="130" customFormat="1" ht="21" customHeight="1" spans="1:22">
      <c r="A9" s="146">
        <v>5</v>
      </c>
      <c r="B9" s="146" t="s">
        <v>207</v>
      </c>
      <c r="C9" s="147">
        <f>T12</f>
        <v>698.37</v>
      </c>
      <c r="D9" s="146"/>
      <c r="E9" s="147"/>
      <c r="F9" s="144">
        <f t="shared" si="1"/>
        <v>698.37</v>
      </c>
      <c r="G9" s="146" t="s">
        <v>15</v>
      </c>
      <c r="H9" s="148">
        <f>110+50+1100</f>
        <v>1260</v>
      </c>
      <c r="I9" s="147">
        <f t="shared" si="0"/>
        <v>5542.61904761905</v>
      </c>
      <c r="J9" s="149"/>
      <c r="Q9" s="130" t="s">
        <v>208</v>
      </c>
      <c r="R9" s="130">
        <v>201</v>
      </c>
      <c r="S9" s="130">
        <v>14767.6616915423</v>
      </c>
      <c r="T9" s="130">
        <v>296.83</v>
      </c>
      <c r="U9" s="130">
        <v>-16.89778</v>
      </c>
      <c r="V9" s="130">
        <v>-0.053861280629978</v>
      </c>
    </row>
    <row r="10" s="130" customFormat="1" ht="21" customHeight="1" spans="1:22">
      <c r="A10" s="146">
        <v>6</v>
      </c>
      <c r="B10" s="146" t="s">
        <v>209</v>
      </c>
      <c r="C10" s="147">
        <f>C11+C12</f>
        <v>160.55</v>
      </c>
      <c r="D10" s="147">
        <f>D11+D12</f>
        <v>67.3</v>
      </c>
      <c r="E10" s="147"/>
      <c r="F10" s="144">
        <f t="shared" si="1"/>
        <v>227.85</v>
      </c>
      <c r="G10" s="149" t="s">
        <v>210</v>
      </c>
      <c r="H10" s="148">
        <v>1</v>
      </c>
      <c r="I10" s="147">
        <f t="shared" si="0"/>
        <v>1605500</v>
      </c>
      <c r="J10" s="149"/>
      <c r="P10" s="130">
        <v>4</v>
      </c>
      <c r="Q10" s="130" t="s">
        <v>19</v>
      </c>
      <c r="T10" s="130">
        <v>784.93</v>
      </c>
      <c r="U10" s="130">
        <v>-72.282144</v>
      </c>
      <c r="V10" s="130">
        <v>-0.0843223518307972</v>
      </c>
    </row>
    <row r="11" s="130" customFormat="1" ht="21" customHeight="1" spans="1:22">
      <c r="A11" s="146">
        <v>6.1</v>
      </c>
      <c r="B11" s="146" t="s">
        <v>211</v>
      </c>
      <c r="C11" s="147">
        <f>T15</f>
        <v>160.55</v>
      </c>
      <c r="D11" s="147"/>
      <c r="E11" s="147"/>
      <c r="F11" s="144">
        <f t="shared" si="1"/>
        <v>160.55</v>
      </c>
      <c r="G11" s="149" t="s">
        <v>210</v>
      </c>
      <c r="H11" s="148">
        <v>1</v>
      </c>
      <c r="I11" s="147">
        <f t="shared" si="0"/>
        <v>1605500</v>
      </c>
      <c r="J11" s="149"/>
      <c r="Q11" s="130" t="s">
        <v>212</v>
      </c>
      <c r="R11" s="130">
        <v>1401</v>
      </c>
      <c r="S11" s="130">
        <v>5602.64097073519</v>
      </c>
      <c r="T11" s="130">
        <v>784.93</v>
      </c>
      <c r="U11" s="130">
        <v>-72.282144</v>
      </c>
      <c r="V11" s="130">
        <v>-0.0843223518307972</v>
      </c>
    </row>
    <row r="12" s="130" customFormat="1" ht="21" customHeight="1" spans="1:22">
      <c r="A12" s="146">
        <v>6.2</v>
      </c>
      <c r="B12" s="146" t="s">
        <v>213</v>
      </c>
      <c r="C12" s="146"/>
      <c r="D12" s="147">
        <f>T16</f>
        <v>67.3</v>
      </c>
      <c r="E12" s="147"/>
      <c r="F12" s="144">
        <f t="shared" si="1"/>
        <v>67.3</v>
      </c>
      <c r="G12" s="149" t="s">
        <v>210</v>
      </c>
      <c r="H12" s="148">
        <v>1</v>
      </c>
      <c r="I12" s="147">
        <f>D12/H12*10000</f>
        <v>673000</v>
      </c>
      <c r="J12" s="149"/>
      <c r="P12" s="130">
        <v>5</v>
      </c>
      <c r="Q12" s="130" t="s">
        <v>20</v>
      </c>
      <c r="T12" s="130">
        <v>698.37</v>
      </c>
      <c r="U12" s="130">
        <v>-84.309164</v>
      </c>
      <c r="V12" s="130">
        <v>-0.107718676921365</v>
      </c>
    </row>
    <row r="13" s="130" customFormat="1" ht="21" customHeight="1" spans="1:22">
      <c r="A13" s="146">
        <v>7</v>
      </c>
      <c r="B13" s="146" t="s">
        <v>214</v>
      </c>
      <c r="C13" s="147">
        <f>T17</f>
        <v>1381.84</v>
      </c>
      <c r="D13" s="146"/>
      <c r="E13" s="147"/>
      <c r="F13" s="144">
        <f t="shared" si="1"/>
        <v>1381.84</v>
      </c>
      <c r="G13" s="146" t="s">
        <v>15</v>
      </c>
      <c r="H13" s="148">
        <f>1246+161</f>
        <v>1407</v>
      </c>
      <c r="I13" s="147">
        <f t="shared" ref="I13:I16" si="2">C13/H13*10000</f>
        <v>9821.17981520967</v>
      </c>
      <c r="J13" s="146"/>
      <c r="Q13" s="130" t="s">
        <v>215</v>
      </c>
      <c r="R13" s="130">
        <v>919</v>
      </c>
      <c r="S13" s="130">
        <v>7599.23830250272</v>
      </c>
      <c r="T13" s="130">
        <v>698.37</v>
      </c>
      <c r="U13" s="130">
        <v>-84.309164</v>
      </c>
      <c r="V13" s="130">
        <v>-0.107718676921365</v>
      </c>
    </row>
    <row r="14" s="130" customFormat="1" ht="21" customHeight="1" spans="1:22">
      <c r="A14" s="146" t="s">
        <v>26</v>
      </c>
      <c r="B14" s="146" t="s">
        <v>216</v>
      </c>
      <c r="C14" s="147">
        <f>X21</f>
        <v>9283.64</v>
      </c>
      <c r="D14" s="144"/>
      <c r="E14" s="144"/>
      <c r="F14" s="144">
        <f t="shared" si="1"/>
        <v>9283.64</v>
      </c>
      <c r="G14" s="146" t="s">
        <v>15</v>
      </c>
      <c r="H14" s="148">
        <f>20+6385+15+30+30+10+40+1080+35+55</f>
        <v>7700</v>
      </c>
      <c r="I14" s="147">
        <f t="shared" si="2"/>
        <v>12056.6753246753</v>
      </c>
      <c r="J14" s="143"/>
      <c r="P14" s="130">
        <v>6</v>
      </c>
      <c r="Q14" s="130" t="s">
        <v>21</v>
      </c>
      <c r="T14" s="130">
        <v>227.85</v>
      </c>
      <c r="U14" s="130">
        <v>-43.140926</v>
      </c>
      <c r="V14" s="130">
        <v>-0.159196939310064</v>
      </c>
    </row>
    <row r="15" s="130" customFormat="1" ht="21" customHeight="1" spans="1:22">
      <c r="A15" s="146" t="s">
        <v>28</v>
      </c>
      <c r="B15" s="146" t="s">
        <v>217</v>
      </c>
      <c r="C15" s="147">
        <f>X22</f>
        <v>4389.53</v>
      </c>
      <c r="D15" s="147"/>
      <c r="E15" s="147"/>
      <c r="F15" s="144">
        <f t="shared" si="1"/>
        <v>4389.53</v>
      </c>
      <c r="G15" s="146" t="s">
        <v>15</v>
      </c>
      <c r="H15" s="148">
        <f>3496+31+336+43+69+195</f>
        <v>4170</v>
      </c>
      <c r="I15" s="147">
        <f t="shared" si="2"/>
        <v>10526.4508393285</v>
      </c>
      <c r="J15" s="146"/>
      <c r="P15" s="130">
        <v>6.1</v>
      </c>
      <c r="Q15" s="130" t="s">
        <v>23</v>
      </c>
      <c r="R15" s="130" t="s">
        <v>218</v>
      </c>
      <c r="S15" s="130" t="s">
        <v>218</v>
      </c>
      <c r="T15" s="130">
        <v>160.55</v>
      </c>
      <c r="U15" s="130">
        <v>-33.185581</v>
      </c>
      <c r="V15" s="130">
        <v>-0.171293165812428</v>
      </c>
    </row>
    <row r="16" s="130" customFormat="1" ht="21" customHeight="1" spans="1:22">
      <c r="A16" s="146">
        <v>10</v>
      </c>
      <c r="B16" s="146" t="s">
        <v>219</v>
      </c>
      <c r="C16" s="147">
        <f>X23</f>
        <v>474.67</v>
      </c>
      <c r="D16" s="147"/>
      <c r="E16" s="147"/>
      <c r="F16" s="144">
        <f t="shared" si="1"/>
        <v>474.67</v>
      </c>
      <c r="G16" s="146" t="s">
        <v>15</v>
      </c>
      <c r="H16" s="148">
        <f>57+446</f>
        <v>503</v>
      </c>
      <c r="I16" s="147">
        <f t="shared" si="2"/>
        <v>9436.77932405567</v>
      </c>
      <c r="J16" s="146"/>
      <c r="P16" s="130">
        <v>6.2</v>
      </c>
      <c r="Q16" s="130" t="s">
        <v>24</v>
      </c>
      <c r="R16" s="130" t="s">
        <v>218</v>
      </c>
      <c r="S16" s="130" t="s">
        <v>218</v>
      </c>
      <c r="T16" s="130">
        <v>67.3</v>
      </c>
      <c r="U16" s="130">
        <v>-9.95534500000001</v>
      </c>
      <c r="V16" s="130">
        <v>-0.12886286379279</v>
      </c>
    </row>
    <row r="17" s="130" customFormat="1" ht="21" customHeight="1" spans="1:22">
      <c r="A17" s="150" t="s">
        <v>31</v>
      </c>
      <c r="B17" s="151" t="s">
        <v>220</v>
      </c>
      <c r="C17" s="152"/>
      <c r="D17" s="153"/>
      <c r="E17" s="152"/>
      <c r="F17" s="152">
        <f>SUM(F18,F25,F30,F42,F44,F48,F64)</f>
        <v>5627.405556511</v>
      </c>
      <c r="G17" s="151"/>
      <c r="H17" s="152"/>
      <c r="I17" s="152"/>
      <c r="J17" s="136"/>
      <c r="P17" s="130">
        <v>7</v>
      </c>
      <c r="Q17" s="130" t="s">
        <v>25</v>
      </c>
      <c r="T17" s="130">
        <v>1381.84</v>
      </c>
      <c r="U17" s="130">
        <v>-181.712521</v>
      </c>
      <c r="V17" s="130">
        <v>-0.116217727616711</v>
      </c>
    </row>
    <row r="18" s="130" customFormat="1" ht="21" customHeight="1" spans="1:22">
      <c r="A18" s="150" t="s">
        <v>33</v>
      </c>
      <c r="B18" s="151" t="s">
        <v>221</v>
      </c>
      <c r="C18" s="152"/>
      <c r="D18" s="153"/>
      <c r="E18" s="154"/>
      <c r="F18" s="152">
        <f>SUM(E19:E24)</f>
        <v>735.8</v>
      </c>
      <c r="G18" s="155" t="s">
        <v>15</v>
      </c>
      <c r="H18" s="154"/>
      <c r="I18" s="154"/>
      <c r="J18" s="182" t="s">
        <v>222</v>
      </c>
      <c r="Q18" s="130" t="s">
        <v>223</v>
      </c>
      <c r="R18" s="130">
        <v>1240</v>
      </c>
      <c r="S18" s="130">
        <v>11143.8709677419</v>
      </c>
      <c r="T18" s="130">
        <v>1381.84</v>
      </c>
      <c r="U18" s="130">
        <v>-181.712521</v>
      </c>
      <c r="V18" s="130">
        <v>-0.116217727616711</v>
      </c>
    </row>
    <row r="19" s="130" customFormat="1" ht="21" customHeight="1" spans="1:10">
      <c r="A19" s="325" t="s">
        <v>36</v>
      </c>
      <c r="B19" s="155" t="s">
        <v>224</v>
      </c>
      <c r="C19" s="154"/>
      <c r="D19" s="157"/>
      <c r="E19" s="154">
        <f t="shared" ref="E19:E24" si="3">H19*I19/10000</f>
        <v>63</v>
      </c>
      <c r="F19" s="154">
        <f t="shared" ref="F19:F24" si="4">E19</f>
        <v>63</v>
      </c>
      <c r="G19" s="155" t="s">
        <v>15</v>
      </c>
      <c r="H19" s="154">
        <f>(管线迁改保护!B13)*2</f>
        <v>1260</v>
      </c>
      <c r="I19" s="154">
        <v>500</v>
      </c>
      <c r="J19" s="167"/>
    </row>
    <row r="20" ht="21" customHeight="1" spans="1:24">
      <c r="A20" s="326" t="s">
        <v>38</v>
      </c>
      <c r="B20" s="159" t="s">
        <v>225</v>
      </c>
      <c r="C20" s="160"/>
      <c r="D20" s="161"/>
      <c r="E20" s="160">
        <f t="shared" si="3"/>
        <v>68</v>
      </c>
      <c r="F20" s="160">
        <f t="shared" si="4"/>
        <v>68</v>
      </c>
      <c r="G20" s="159" t="s">
        <v>15</v>
      </c>
      <c r="H20" s="154">
        <f>(管线迁改保护!C13)*2</f>
        <v>680</v>
      </c>
      <c r="I20" s="160">
        <v>1000</v>
      </c>
      <c r="J20" s="167"/>
      <c r="P20" s="183" t="s">
        <v>226</v>
      </c>
      <c r="Q20" s="183"/>
      <c r="R20" s="183"/>
      <c r="S20" s="183"/>
      <c r="T20" s="193">
        <v>13687.13</v>
      </c>
      <c r="U20" s="193"/>
      <c r="V20" s="193"/>
      <c r="W20" s="193"/>
      <c r="X20" s="193">
        <f>X21+X22+X23</f>
        <v>14147.84</v>
      </c>
    </row>
    <row r="21" ht="21" customHeight="1" spans="1:24">
      <c r="A21" s="326" t="s">
        <v>40</v>
      </c>
      <c r="B21" s="159" t="s">
        <v>227</v>
      </c>
      <c r="C21" s="160"/>
      <c r="D21" s="161"/>
      <c r="E21" s="160">
        <f t="shared" si="3"/>
        <v>234</v>
      </c>
      <c r="F21" s="160">
        <f t="shared" si="4"/>
        <v>234</v>
      </c>
      <c r="G21" s="159" t="s">
        <v>15</v>
      </c>
      <c r="H21" s="154">
        <f>(管线迁改保护!D13)*2</f>
        <v>2600</v>
      </c>
      <c r="I21" s="160">
        <v>900</v>
      </c>
      <c r="J21" s="167"/>
      <c r="P21" s="183" t="s">
        <v>27</v>
      </c>
      <c r="Q21" s="183"/>
      <c r="R21" s="183"/>
      <c r="S21" s="183"/>
      <c r="T21" s="193">
        <v>92836422.01</v>
      </c>
      <c r="U21" s="193"/>
      <c r="V21" s="193"/>
      <c r="W21" s="193"/>
      <c r="X21" s="193">
        <f>ROUND(T21/10000,2)</f>
        <v>9283.64</v>
      </c>
    </row>
    <row r="22" ht="21" customHeight="1" spans="1:24">
      <c r="A22" s="326" t="s">
        <v>42</v>
      </c>
      <c r="B22" s="159" t="s">
        <v>228</v>
      </c>
      <c r="C22" s="160"/>
      <c r="D22" s="161"/>
      <c r="E22" s="160">
        <f t="shared" si="3"/>
        <v>177</v>
      </c>
      <c r="F22" s="160">
        <f t="shared" si="4"/>
        <v>177</v>
      </c>
      <c r="G22" s="159" t="s">
        <v>15</v>
      </c>
      <c r="H22" s="154">
        <f>(管线迁改保护!E13)*2</f>
        <v>2360</v>
      </c>
      <c r="I22" s="160">
        <v>750</v>
      </c>
      <c r="J22" s="167"/>
      <c r="P22" s="183" t="s">
        <v>29</v>
      </c>
      <c r="Q22" s="183"/>
      <c r="R22" s="183"/>
      <c r="S22" s="183"/>
      <c r="T22" s="193">
        <v>43895291.44</v>
      </c>
      <c r="U22" s="193"/>
      <c r="V22" s="193"/>
      <c r="W22" s="193"/>
      <c r="X22" s="193">
        <f>ROUND(T22/10000,2)</f>
        <v>4389.53</v>
      </c>
    </row>
    <row r="23" ht="21" customHeight="1" spans="1:24">
      <c r="A23" s="326" t="s">
        <v>44</v>
      </c>
      <c r="B23" s="159" t="s">
        <v>229</v>
      </c>
      <c r="C23" s="160"/>
      <c r="D23" s="161"/>
      <c r="E23" s="160">
        <f t="shared" si="3"/>
        <v>177</v>
      </c>
      <c r="F23" s="160">
        <f t="shared" si="4"/>
        <v>177</v>
      </c>
      <c r="G23" s="159" t="s">
        <v>15</v>
      </c>
      <c r="H23" s="154">
        <f>(管线迁改保护!F13)*2</f>
        <v>2360</v>
      </c>
      <c r="I23" s="160">
        <v>750</v>
      </c>
      <c r="J23" s="167"/>
      <c r="P23" s="183" t="s">
        <v>30</v>
      </c>
      <c r="Q23" s="183"/>
      <c r="R23" s="183"/>
      <c r="S23" s="183"/>
      <c r="T23" s="193">
        <v>4746662.63</v>
      </c>
      <c r="U23" s="193"/>
      <c r="V23" s="193"/>
      <c r="W23" s="193"/>
      <c r="X23" s="193">
        <f>ROUND(T23/10000,2)</f>
        <v>474.67</v>
      </c>
    </row>
    <row r="24" ht="21" customHeight="1" spans="1:10">
      <c r="A24" s="326" t="s">
        <v>46</v>
      </c>
      <c r="B24" s="159" t="s">
        <v>230</v>
      </c>
      <c r="C24" s="160"/>
      <c r="D24" s="161"/>
      <c r="E24" s="160">
        <f t="shared" si="3"/>
        <v>16.8</v>
      </c>
      <c r="F24" s="160">
        <f t="shared" si="4"/>
        <v>16.8</v>
      </c>
      <c r="G24" s="159" t="s">
        <v>15</v>
      </c>
      <c r="H24" s="154">
        <f>(管线迁改保护!G13)*2</f>
        <v>140</v>
      </c>
      <c r="I24" s="160">
        <v>1200</v>
      </c>
      <c r="J24" s="167"/>
    </row>
    <row r="25" ht="21" customHeight="1" spans="1:10">
      <c r="A25" s="162" t="s">
        <v>48</v>
      </c>
      <c r="B25" s="163" t="s">
        <v>231</v>
      </c>
      <c r="C25" s="164"/>
      <c r="D25" s="165"/>
      <c r="E25" s="160"/>
      <c r="F25" s="164">
        <f>SUM(E26:E29)</f>
        <v>126.050369748151</v>
      </c>
      <c r="G25" s="159"/>
      <c r="H25" s="154"/>
      <c r="I25" s="160"/>
      <c r="J25" s="155"/>
    </row>
    <row r="26" ht="21" customHeight="1" spans="1:10">
      <c r="A26" s="326" t="s">
        <v>36</v>
      </c>
      <c r="B26" s="155" t="s">
        <v>232</v>
      </c>
      <c r="C26" s="166"/>
      <c r="D26" s="166"/>
      <c r="E26" s="167">
        <f t="shared" ref="E26:E29" si="5">H26*I26/10000</f>
        <v>49.3497532512338</v>
      </c>
      <c r="F26" s="167">
        <f t="shared" ref="F26:F29" si="6">E26</f>
        <v>49.3497532512338</v>
      </c>
      <c r="G26" s="155" t="s">
        <v>233</v>
      </c>
      <c r="H26" s="167">
        <f>(用地统计!H13-用地统计!H12)/666.67</f>
        <v>24.6748766256169</v>
      </c>
      <c r="I26" s="167">
        <v>20000</v>
      </c>
      <c r="J26" s="167" t="s">
        <v>234</v>
      </c>
    </row>
    <row r="27" ht="21" customHeight="1" spans="1:10">
      <c r="A27" s="326" t="s">
        <v>38</v>
      </c>
      <c r="B27" s="155" t="s">
        <v>235</v>
      </c>
      <c r="C27" s="166"/>
      <c r="D27" s="166"/>
      <c r="E27" s="167">
        <f t="shared" si="5"/>
        <v>0</v>
      </c>
      <c r="F27" s="167">
        <f t="shared" si="6"/>
        <v>0</v>
      </c>
      <c r="G27" s="155" t="s">
        <v>233</v>
      </c>
      <c r="H27" s="167">
        <v>0</v>
      </c>
      <c r="I27" s="167">
        <v>145600</v>
      </c>
      <c r="J27" s="167" t="s">
        <v>236</v>
      </c>
    </row>
    <row r="28" ht="21" customHeight="1" spans="1:10">
      <c r="A28" s="326" t="s">
        <v>40</v>
      </c>
      <c r="B28" s="155" t="s">
        <v>237</v>
      </c>
      <c r="C28" s="166"/>
      <c r="D28" s="166"/>
      <c r="E28" s="167">
        <f t="shared" si="5"/>
        <v>51.5757421212894</v>
      </c>
      <c r="F28" s="167">
        <f t="shared" si="6"/>
        <v>51.5757421212894</v>
      </c>
      <c r="G28" s="155" t="s">
        <v>233</v>
      </c>
      <c r="H28" s="167">
        <f>(管线迁改保护!J13-用地统计!J12)/666.67</f>
        <v>25.7878710606447</v>
      </c>
      <c r="I28" s="167">
        <v>20000</v>
      </c>
      <c r="J28" s="167" t="s">
        <v>234</v>
      </c>
    </row>
    <row r="29" ht="21" customHeight="1" spans="1:10">
      <c r="A29" s="326" t="s">
        <v>42</v>
      </c>
      <c r="B29" s="155" t="s">
        <v>238</v>
      </c>
      <c r="C29" s="166"/>
      <c r="D29" s="166"/>
      <c r="E29" s="167">
        <f t="shared" si="5"/>
        <v>25.1248743756281</v>
      </c>
      <c r="F29" s="167">
        <f t="shared" si="6"/>
        <v>25.1248743756281</v>
      </c>
      <c r="G29" s="155" t="s">
        <v>233</v>
      </c>
      <c r="H29" s="167">
        <f>管线迁改保护!K13/666.67</f>
        <v>25.1248743756281</v>
      </c>
      <c r="I29" s="167">
        <v>10000</v>
      </c>
      <c r="J29" s="167"/>
    </row>
    <row r="30" ht="21" customHeight="1" spans="1:10">
      <c r="A30" s="162" t="s">
        <v>56</v>
      </c>
      <c r="B30" s="163" t="s">
        <v>239</v>
      </c>
      <c r="C30" s="164"/>
      <c r="D30" s="165"/>
      <c r="E30" s="160"/>
      <c r="F30" s="164">
        <f>SUM(F31,F32,F33,F38,F41)</f>
        <v>595.93217644</v>
      </c>
      <c r="G30" s="159"/>
      <c r="H30" s="154"/>
      <c r="I30" s="160"/>
      <c r="J30" s="155"/>
    </row>
    <row r="31" ht="21" customHeight="1" spans="1:11">
      <c r="A31" s="162">
        <v>3.1</v>
      </c>
      <c r="B31" s="151" t="s">
        <v>240</v>
      </c>
      <c r="C31" s="152"/>
      <c r="D31" s="153"/>
      <c r="E31" s="168">
        <v>251.48</v>
      </c>
      <c r="F31" s="152">
        <f t="shared" ref="F31:F37" si="7">E31</f>
        <v>251.48</v>
      </c>
      <c r="G31" s="155"/>
      <c r="H31" s="154"/>
      <c r="I31" s="154"/>
      <c r="J31" s="184" t="s">
        <v>241</v>
      </c>
      <c r="K31">
        <v>251.48</v>
      </c>
    </row>
    <row r="32" ht="21" customHeight="1" spans="1:14">
      <c r="A32" s="162" t="s">
        <v>60</v>
      </c>
      <c r="B32" s="151" t="s">
        <v>242</v>
      </c>
      <c r="C32" s="152"/>
      <c r="D32" s="153"/>
      <c r="E32" s="169">
        <v>14.93</v>
      </c>
      <c r="F32" s="152">
        <f t="shared" si="7"/>
        <v>14.93</v>
      </c>
      <c r="G32" s="155"/>
      <c r="H32" s="170"/>
      <c r="I32" s="154"/>
      <c r="J32" s="184" t="s">
        <v>243</v>
      </c>
      <c r="M32" t="s">
        <v>244</v>
      </c>
      <c r="N32" s="185">
        <f>(38.8*6.5%+(103.8-38.8)*6%+(163.9-103.8)*5.5%+(304.8-163.9)*5%+(N47/0.8-304.8)*4%)*0.8</f>
        <v>20.976687424</v>
      </c>
    </row>
    <row r="33" ht="21" customHeight="1" spans="1:10">
      <c r="A33" s="162" t="s">
        <v>63</v>
      </c>
      <c r="B33" s="151" t="s">
        <v>245</v>
      </c>
      <c r="C33" s="152"/>
      <c r="D33" s="153"/>
      <c r="E33" s="169"/>
      <c r="F33" s="152">
        <f>SUM(E34:E37)</f>
        <v>32.82721004</v>
      </c>
      <c r="G33" s="155"/>
      <c r="H33" s="170"/>
      <c r="I33" s="154"/>
      <c r="J33" s="184" t="s">
        <v>246</v>
      </c>
    </row>
    <row r="34" ht="21" customHeight="1" spans="1:10">
      <c r="A34" s="327" t="s">
        <v>247</v>
      </c>
      <c r="B34" s="155" t="s">
        <v>248</v>
      </c>
      <c r="C34" s="154"/>
      <c r="D34" s="157"/>
      <c r="E34" s="169">
        <f>((100*1+400*0.7+500*0.55+4000*0.35+5000*0.2+(F4-10000)*0.05)/100)*0.8</f>
        <v>28.046244</v>
      </c>
      <c r="F34" s="154">
        <f t="shared" si="7"/>
        <v>28.046244</v>
      </c>
      <c r="G34" s="155"/>
      <c r="H34" s="170"/>
      <c r="I34" s="154"/>
      <c r="J34" s="155"/>
    </row>
    <row r="35" ht="21" customHeight="1" spans="1:10">
      <c r="A35" s="327" t="s">
        <v>249</v>
      </c>
      <c r="B35" s="155" t="s">
        <v>250</v>
      </c>
      <c r="C35" s="154"/>
      <c r="D35" s="157"/>
      <c r="E35" s="169">
        <f>((100*1.5+(E46+E45-100)*0.8)/100)*0.8*0</f>
        <v>0</v>
      </c>
      <c r="F35" s="154">
        <f t="shared" si="7"/>
        <v>0</v>
      </c>
      <c r="G35" s="155"/>
      <c r="H35" s="170"/>
      <c r="I35" s="154"/>
      <c r="J35" s="155"/>
    </row>
    <row r="36" ht="21" customHeight="1" spans="1:10">
      <c r="A36" s="327" t="s">
        <v>251</v>
      </c>
      <c r="B36" s="155" t="s">
        <v>252</v>
      </c>
      <c r="C36" s="154"/>
      <c r="D36" s="157"/>
      <c r="E36" s="169">
        <f>((100*1.5+(E47-100)*0.85)/100)*0.8</f>
        <v>2.88048604</v>
      </c>
      <c r="F36" s="154">
        <f t="shared" si="7"/>
        <v>2.88048604</v>
      </c>
      <c r="G36" s="155"/>
      <c r="H36" s="170"/>
      <c r="I36" s="154"/>
      <c r="J36" s="155"/>
    </row>
    <row r="37" ht="21" customHeight="1" spans="1:10">
      <c r="A37" s="327" t="s">
        <v>253</v>
      </c>
      <c r="B37" s="155" t="s">
        <v>254</v>
      </c>
      <c r="C37" s="154"/>
      <c r="D37" s="157"/>
      <c r="E37" s="169">
        <f>((100*1.5+(E41-100)*0.8)/100)*0.8</f>
        <v>1.90048</v>
      </c>
      <c r="F37" s="154">
        <f t="shared" si="7"/>
        <v>1.90048</v>
      </c>
      <c r="G37" s="155"/>
      <c r="H37" s="170"/>
      <c r="I37" s="154"/>
      <c r="J37" s="155"/>
    </row>
    <row r="38" ht="21" customHeight="1" spans="1:10">
      <c r="A38" s="162" t="s">
        <v>74</v>
      </c>
      <c r="B38" s="151" t="s">
        <v>255</v>
      </c>
      <c r="C38" s="152"/>
      <c r="D38" s="153"/>
      <c r="E38" s="154"/>
      <c r="F38" s="152">
        <f>SUM(E39:E40)</f>
        <v>87.2449664</v>
      </c>
      <c r="G38" s="155"/>
      <c r="H38" s="154"/>
      <c r="I38" s="154"/>
      <c r="J38" s="186"/>
    </row>
    <row r="39" ht="21" customHeight="1" spans="1:14">
      <c r="A39" s="327" t="s">
        <v>256</v>
      </c>
      <c r="B39" s="155" t="s">
        <v>257</v>
      </c>
      <c r="C39" s="152"/>
      <c r="D39" s="153"/>
      <c r="E39" s="154">
        <v>37.97</v>
      </c>
      <c r="F39" s="154">
        <f t="shared" ref="F39:F41" si="8">E39</f>
        <v>37.97</v>
      </c>
      <c r="G39" s="155"/>
      <c r="H39" s="154"/>
      <c r="I39" s="154"/>
      <c r="J39" s="187" t="s">
        <v>243</v>
      </c>
      <c r="M39" t="s">
        <v>258</v>
      </c>
      <c r="N39" s="185">
        <f>((500*5+500*4.6+4000*4+5000*3.5+(F4-10000)*3)/1000)*0.8</f>
        <v>52.277464</v>
      </c>
    </row>
    <row r="40" ht="21" customHeight="1" spans="1:14">
      <c r="A40" s="327" t="s">
        <v>259</v>
      </c>
      <c r="B40" s="155" t="s">
        <v>260</v>
      </c>
      <c r="C40" s="152"/>
      <c r="D40" s="153"/>
      <c r="E40" s="154">
        <f>((500*4.9+500*4.4+4000*3.8+5000*3.3+(F4-10000)*2.8)/1000)*0.8</f>
        <v>49.2749664</v>
      </c>
      <c r="F40" s="154">
        <f t="shared" si="8"/>
        <v>49.2749664</v>
      </c>
      <c r="G40" s="155"/>
      <c r="H40" s="154"/>
      <c r="I40" s="154"/>
      <c r="J40" s="188" t="s">
        <v>261</v>
      </c>
      <c r="N40" s="185"/>
    </row>
    <row r="41" ht="21" customHeight="1" spans="1:14">
      <c r="A41" s="172">
        <v>3.5</v>
      </c>
      <c r="B41" s="151" t="s">
        <v>262</v>
      </c>
      <c r="C41" s="152"/>
      <c r="D41" s="153"/>
      <c r="E41" s="154">
        <v>209.45</v>
      </c>
      <c r="F41" s="152">
        <f t="shared" si="8"/>
        <v>209.45</v>
      </c>
      <c r="G41" s="155"/>
      <c r="H41" s="154"/>
      <c r="I41" s="154"/>
      <c r="J41" s="184" t="s">
        <v>243</v>
      </c>
      <c r="M41" t="s">
        <v>244</v>
      </c>
      <c r="N41" s="185">
        <f>(218.6+(393.4-218.6)*(F4-10000)/(20000-10000))*0.8</f>
        <v>300.95429024</v>
      </c>
    </row>
    <row r="42" ht="21" customHeight="1" spans="1:14">
      <c r="A42" s="162" t="s">
        <v>83</v>
      </c>
      <c r="B42" s="151" t="s">
        <v>263</v>
      </c>
      <c r="C42" s="152"/>
      <c r="D42" s="153"/>
      <c r="E42" s="141"/>
      <c r="F42" s="152">
        <f>SUM(E43:E43)</f>
        <v>26</v>
      </c>
      <c r="G42" s="155"/>
      <c r="H42" s="154"/>
      <c r="I42" s="154"/>
      <c r="J42" s="184" t="s">
        <v>243</v>
      </c>
      <c r="M42" t="s">
        <v>244</v>
      </c>
      <c r="N42" s="185">
        <f>(38.8*6.5%+(103.8-38.8)*6%+(163.9-103.8)*5.5%+(304.8-163.9)*5%+(E47/0.8-304.8)*4%)*0.8</f>
        <v>17.549612</v>
      </c>
    </row>
    <row r="43" ht="21" customHeight="1" spans="1:14">
      <c r="A43" s="171">
        <v>4.1</v>
      </c>
      <c r="B43" s="155" t="s">
        <v>264</v>
      </c>
      <c r="C43" s="152"/>
      <c r="D43" s="153"/>
      <c r="E43" s="154">
        <v>26</v>
      </c>
      <c r="F43" s="154">
        <f t="shared" ref="F43:F47" si="9">E43</f>
        <v>26</v>
      </c>
      <c r="G43" s="155"/>
      <c r="H43" s="154"/>
      <c r="I43" s="154"/>
      <c r="J43" s="184" t="s">
        <v>243</v>
      </c>
      <c r="M43" t="s">
        <v>265</v>
      </c>
      <c r="N43" s="185">
        <f>ROUND((28+(75-28)/40000*(F78-10000))*0.8,2)</f>
        <v>37.15</v>
      </c>
    </row>
    <row r="44" ht="21" customHeight="1" spans="1:14">
      <c r="A44" s="162" t="s">
        <v>87</v>
      </c>
      <c r="B44" s="151" t="s">
        <v>266</v>
      </c>
      <c r="C44" s="152"/>
      <c r="D44" s="153"/>
      <c r="E44" s="154"/>
      <c r="F44" s="152">
        <f>SUM(E45:E47)</f>
        <v>413.9503</v>
      </c>
      <c r="G44" s="155"/>
      <c r="H44" s="154"/>
      <c r="I44" s="154"/>
      <c r="J44" s="186"/>
      <c r="N44" s="185"/>
    </row>
    <row r="45" ht="54" customHeight="1" spans="1:14">
      <c r="A45" s="327" t="s">
        <v>247</v>
      </c>
      <c r="B45" s="155" t="s">
        <v>267</v>
      </c>
      <c r="C45" s="152"/>
      <c r="D45" s="153"/>
      <c r="E45" s="154">
        <f>2076*200/10000</f>
        <v>41.52</v>
      </c>
      <c r="F45" s="154">
        <f t="shared" si="9"/>
        <v>41.52</v>
      </c>
      <c r="G45" s="155"/>
      <c r="H45" s="154"/>
      <c r="I45" s="154"/>
      <c r="J45" s="187" t="s">
        <v>268</v>
      </c>
      <c r="M45" t="s">
        <v>269</v>
      </c>
      <c r="N45" s="185"/>
    </row>
    <row r="46" ht="21" customHeight="1" spans="1:14">
      <c r="A46" s="327" t="s">
        <v>249</v>
      </c>
      <c r="B46" s="155" t="s">
        <v>270</v>
      </c>
      <c r="C46" s="152"/>
      <c r="D46" s="153"/>
      <c r="E46" s="154">
        <v>25.3</v>
      </c>
      <c r="F46" s="154">
        <f t="shared" si="9"/>
        <v>25.3</v>
      </c>
      <c r="G46" s="155"/>
      <c r="H46" s="154"/>
      <c r="I46" s="154"/>
      <c r="J46" s="187" t="s">
        <v>243</v>
      </c>
      <c r="N46" s="185"/>
    </row>
    <row r="47" ht="21" customHeight="1" spans="1:14">
      <c r="A47" s="327" t="s">
        <v>251</v>
      </c>
      <c r="B47" s="155" t="s">
        <v>271</v>
      </c>
      <c r="C47" s="152"/>
      <c r="D47" s="153"/>
      <c r="E47" s="154">
        <f>((566.8+(1054-566.8)*(F4-20000)/(40000-20000)))*1*0.8*0+3471303/10000</f>
        <v>347.1303</v>
      </c>
      <c r="F47" s="154">
        <f t="shared" si="9"/>
        <v>347.1303</v>
      </c>
      <c r="G47" s="155"/>
      <c r="H47" s="154"/>
      <c r="I47" s="154"/>
      <c r="J47" s="189" t="s">
        <v>243</v>
      </c>
      <c r="M47" t="s">
        <v>244</v>
      </c>
      <c r="N47" s="185">
        <f>((304.8+(566.8-304.8)*(F4-10000)/(20000-10000)))*1*0.8</f>
        <v>432.8071856</v>
      </c>
    </row>
    <row r="48" ht="21" customHeight="1" spans="1:14">
      <c r="A48" s="162" t="s">
        <v>96</v>
      </c>
      <c r="B48" s="151" t="s">
        <v>272</v>
      </c>
      <c r="C48" s="152"/>
      <c r="D48" s="153"/>
      <c r="E48" s="154"/>
      <c r="F48" s="152">
        <f>SUM(F49,F51,F56:F63)</f>
        <v>3555.97271032285</v>
      </c>
      <c r="G48" s="155"/>
      <c r="H48" s="154"/>
      <c r="I48" s="154"/>
      <c r="J48" s="190"/>
      <c r="N48" s="185"/>
    </row>
    <row r="49" ht="21" customHeight="1" spans="1:15">
      <c r="A49" s="162" t="s">
        <v>98</v>
      </c>
      <c r="B49" s="151" t="s">
        <v>273</v>
      </c>
      <c r="C49" s="152"/>
      <c r="D49" s="153"/>
      <c r="E49" s="152"/>
      <c r="F49" s="152">
        <f>SUM(E50:E50)</f>
        <v>0</v>
      </c>
      <c r="G49" s="151"/>
      <c r="H49" s="152"/>
      <c r="I49" s="152"/>
      <c r="J49" s="187"/>
      <c r="O49">
        <f>1800+276</f>
        <v>2076</v>
      </c>
    </row>
    <row r="50" ht="21" customHeight="1" spans="1:10">
      <c r="A50" s="327" t="s">
        <v>247</v>
      </c>
      <c r="B50" s="155" t="s">
        <v>274</v>
      </c>
      <c r="C50" s="152"/>
      <c r="D50" s="153"/>
      <c r="E50" s="154">
        <v>0</v>
      </c>
      <c r="F50" s="154">
        <f t="shared" ref="F50:F63" si="10">E50</f>
        <v>0</v>
      </c>
      <c r="G50" s="155"/>
      <c r="H50" s="154"/>
      <c r="I50" s="154"/>
      <c r="J50" s="187" t="s">
        <v>275</v>
      </c>
    </row>
    <row r="51" ht="21" customHeight="1" spans="1:14">
      <c r="A51" s="162" t="s">
        <v>102</v>
      </c>
      <c r="B51" s="151" t="s">
        <v>276</v>
      </c>
      <c r="C51" s="152"/>
      <c r="D51" s="153"/>
      <c r="E51" s="173"/>
      <c r="F51" s="152">
        <f>SUM(E52:E55)</f>
        <v>92.99747575</v>
      </c>
      <c r="G51" s="151"/>
      <c r="H51" s="174"/>
      <c r="I51" s="152"/>
      <c r="J51" s="191"/>
      <c r="N51" s="185"/>
    </row>
    <row r="52" ht="21" customHeight="1" spans="1:14">
      <c r="A52" s="327" t="s">
        <v>247</v>
      </c>
      <c r="B52" s="155" t="s">
        <v>277</v>
      </c>
      <c r="C52" s="152"/>
      <c r="D52" s="153"/>
      <c r="E52" s="154">
        <f>((72-52)/(20000-10000)*(C4-10000)+52)*0.5</f>
        <v>34.94831</v>
      </c>
      <c r="F52" s="154">
        <f t="shared" si="10"/>
        <v>34.94831</v>
      </c>
      <c r="G52" s="155"/>
      <c r="H52" s="154"/>
      <c r="I52" s="154"/>
      <c r="J52" s="187" t="s">
        <v>278</v>
      </c>
      <c r="N52" s="185"/>
    </row>
    <row r="53" ht="21" customHeight="1" spans="1:14">
      <c r="A53" s="327" t="s">
        <v>279</v>
      </c>
      <c r="B53" s="155" t="s">
        <v>280</v>
      </c>
      <c r="C53" s="152"/>
      <c r="D53" s="153"/>
      <c r="E53" s="154">
        <f>(90+(140-90)/(30000-20000)*(C4-20000))*0.5</f>
        <v>42.370775</v>
      </c>
      <c r="F53" s="154">
        <f t="shared" si="10"/>
        <v>42.370775</v>
      </c>
      <c r="G53" s="155"/>
      <c r="H53" s="154"/>
      <c r="I53" s="154"/>
      <c r="J53" s="187" t="s">
        <v>278</v>
      </c>
      <c r="N53" s="185"/>
    </row>
    <row r="54" ht="21" customHeight="1" spans="1:14">
      <c r="A54" s="327" t="s">
        <v>251</v>
      </c>
      <c r="B54" s="155" t="s">
        <v>281</v>
      </c>
      <c r="C54" s="152"/>
      <c r="D54" s="153"/>
      <c r="E54" s="154">
        <f>(30+(36-30)/(30000-20000)*(F4-20000))*0.5</f>
        <v>14.704683</v>
      </c>
      <c r="F54" s="154">
        <f t="shared" si="10"/>
        <v>14.704683</v>
      </c>
      <c r="G54" s="155"/>
      <c r="H54" s="154"/>
      <c r="I54" s="154"/>
      <c r="J54" s="187" t="s">
        <v>278</v>
      </c>
      <c r="N54" s="185"/>
    </row>
    <row r="55" ht="21" customHeight="1" spans="1:14">
      <c r="A55" s="327" t="s">
        <v>282</v>
      </c>
      <c r="B55" s="155" t="s">
        <v>283</v>
      </c>
      <c r="C55" s="152"/>
      <c r="D55" s="153"/>
      <c r="E55" s="154">
        <f>((2+(2.5-2)/(30000-20000)*(C4-20000)))*0.5</f>
        <v>0.97370775</v>
      </c>
      <c r="F55" s="154">
        <f t="shared" si="10"/>
        <v>0.97370775</v>
      </c>
      <c r="G55" s="155"/>
      <c r="H55" s="154"/>
      <c r="I55" s="154"/>
      <c r="J55" s="187" t="s">
        <v>284</v>
      </c>
      <c r="N55" s="185"/>
    </row>
    <row r="56" ht="21" customHeight="1" spans="1:14">
      <c r="A56" s="162">
        <v>6.3</v>
      </c>
      <c r="B56" s="151" t="s">
        <v>285</v>
      </c>
      <c r="C56" s="152"/>
      <c r="D56" s="153"/>
      <c r="E56" s="154">
        <f>(H26+H27)*666.67*2/10000</f>
        <v>3.29</v>
      </c>
      <c r="F56" s="152">
        <f t="shared" si="10"/>
        <v>3.29</v>
      </c>
      <c r="G56" s="151"/>
      <c r="H56" s="152"/>
      <c r="I56" s="152"/>
      <c r="J56" s="184" t="s">
        <v>286</v>
      </c>
      <c r="N56" s="185"/>
    </row>
    <row r="57" ht="21" customHeight="1" spans="1:14">
      <c r="A57" s="162" t="s">
        <v>114</v>
      </c>
      <c r="B57" s="151" t="s">
        <v>287</v>
      </c>
      <c r="C57" s="152"/>
      <c r="D57" s="153"/>
      <c r="E57" s="154">
        <f>F4*0.5%</f>
        <v>95.07805</v>
      </c>
      <c r="F57" s="152">
        <f t="shared" si="10"/>
        <v>95.07805</v>
      </c>
      <c r="G57" s="151"/>
      <c r="H57" s="152"/>
      <c r="I57" s="152"/>
      <c r="J57" s="187" t="s">
        <v>288</v>
      </c>
      <c r="N57" s="185"/>
    </row>
    <row r="58" ht="21" customHeight="1" spans="1:14">
      <c r="A58" s="162" t="s">
        <v>117</v>
      </c>
      <c r="B58" s="151" t="s">
        <v>289</v>
      </c>
      <c r="C58" s="152"/>
      <c r="D58" s="153"/>
      <c r="E58" s="154">
        <f>F4*0.3%</f>
        <v>57.04683</v>
      </c>
      <c r="F58" s="152">
        <f t="shared" si="10"/>
        <v>57.04683</v>
      </c>
      <c r="G58" s="151"/>
      <c r="H58" s="152"/>
      <c r="I58" s="152"/>
      <c r="J58" s="187" t="s">
        <v>290</v>
      </c>
      <c r="M58" t="s">
        <v>244</v>
      </c>
      <c r="N58" s="185">
        <f>(72+(82-72)/(30000-20000)*(D11-20000))*0.5</f>
        <v>26</v>
      </c>
    </row>
    <row r="59" ht="21" customHeight="1" spans="1:14">
      <c r="A59" s="162" t="s">
        <v>120</v>
      </c>
      <c r="B59" s="175" t="s">
        <v>121</v>
      </c>
      <c r="C59" s="164"/>
      <c r="D59" s="165"/>
      <c r="E59" s="160">
        <f>下穿铁路估算对比表!I44</f>
        <v>2915.58829725</v>
      </c>
      <c r="F59" s="164">
        <f t="shared" si="10"/>
        <v>2915.58829725</v>
      </c>
      <c r="G59" s="163"/>
      <c r="H59" s="152"/>
      <c r="I59" s="164"/>
      <c r="J59" s="184" t="s">
        <v>291</v>
      </c>
      <c r="N59" s="185"/>
    </row>
    <row r="60" s="130" customFormat="1" ht="21" customHeight="1" spans="1:14">
      <c r="A60" s="172">
        <v>6.7</v>
      </c>
      <c r="B60" s="151" t="s">
        <v>292</v>
      </c>
      <c r="C60" s="151"/>
      <c r="D60" s="152"/>
      <c r="E60" s="154">
        <v>100</v>
      </c>
      <c r="F60" s="152">
        <f t="shared" si="10"/>
        <v>100</v>
      </c>
      <c r="G60" s="151"/>
      <c r="H60" s="176"/>
      <c r="I60" s="151"/>
      <c r="J60" s="184" t="s">
        <v>293</v>
      </c>
      <c r="N60" s="192"/>
    </row>
    <row r="61" s="130" customFormat="1" ht="21" customHeight="1" spans="1:14">
      <c r="A61" s="150" t="s">
        <v>126</v>
      </c>
      <c r="B61" s="151" t="s">
        <v>294</v>
      </c>
      <c r="C61" s="152"/>
      <c r="D61" s="153"/>
      <c r="E61" s="154">
        <f>F4*0.7%*0.8</f>
        <v>106.487416</v>
      </c>
      <c r="F61" s="152">
        <f t="shared" si="10"/>
        <v>106.487416</v>
      </c>
      <c r="G61" s="151"/>
      <c r="H61" s="152"/>
      <c r="I61" s="152"/>
      <c r="J61" s="184" t="s">
        <v>295</v>
      </c>
      <c r="M61" s="130" t="s">
        <v>244</v>
      </c>
      <c r="N61" s="192">
        <f>((2+(2.5-2)/(30000-20000)*(D11-20000)))*0.5</f>
        <v>0.5</v>
      </c>
    </row>
    <row r="62" s="130" customFormat="1" ht="21" customHeight="1" spans="1:10">
      <c r="A62" s="172">
        <v>6.9</v>
      </c>
      <c r="B62" s="177" t="s">
        <v>129</v>
      </c>
      <c r="C62" s="178"/>
      <c r="D62" s="179"/>
      <c r="E62" s="154">
        <f>(H26+H28+H29+H27)*2594/10000</f>
        <v>19.6074291628542</v>
      </c>
      <c r="F62" s="152">
        <f t="shared" si="10"/>
        <v>19.6074291628542</v>
      </c>
      <c r="G62" s="178"/>
      <c r="H62" s="176"/>
      <c r="I62" s="176"/>
      <c r="J62" s="184" t="s">
        <v>296</v>
      </c>
    </row>
    <row r="63" s="130" customFormat="1" ht="33" customHeight="1" spans="1:10">
      <c r="A63" s="180">
        <v>6.1</v>
      </c>
      <c r="B63" s="178" t="s">
        <v>297</v>
      </c>
      <c r="C63" s="178"/>
      <c r="D63" s="179"/>
      <c r="E63" s="154">
        <f>基坑监测!J21/10000/22*22*0.8</f>
        <v>165.87721216</v>
      </c>
      <c r="F63" s="152">
        <f t="shared" si="10"/>
        <v>165.87721216</v>
      </c>
      <c r="G63" s="178"/>
      <c r="H63" s="176"/>
      <c r="I63" s="176"/>
      <c r="J63" s="184" t="s">
        <v>298</v>
      </c>
    </row>
    <row r="64" s="130" customFormat="1" ht="21" customHeight="1" spans="1:10">
      <c r="A64" s="150" t="s">
        <v>133</v>
      </c>
      <c r="B64" s="151" t="s">
        <v>299</v>
      </c>
      <c r="C64" s="155"/>
      <c r="D64" s="152"/>
      <c r="E64" s="154"/>
      <c r="F64" s="152">
        <f>SUM(E65:E69)</f>
        <v>173.7</v>
      </c>
      <c r="G64" s="155"/>
      <c r="H64" s="154"/>
      <c r="I64" s="155"/>
      <c r="J64" s="184" t="s">
        <v>293</v>
      </c>
    </row>
    <row r="65" s="130" customFormat="1" ht="32" customHeight="1" spans="1:10">
      <c r="A65" s="156" t="s">
        <v>136</v>
      </c>
      <c r="B65" s="155" t="s">
        <v>300</v>
      </c>
      <c r="C65" s="155"/>
      <c r="D65" s="154"/>
      <c r="E65" s="154">
        <f>13*0.8</f>
        <v>10.4</v>
      </c>
      <c r="F65" s="154">
        <f t="shared" ref="F65:F71" si="11">E65</f>
        <v>10.4</v>
      </c>
      <c r="G65" s="155"/>
      <c r="H65" s="154"/>
      <c r="I65" s="155"/>
      <c r="J65" s="184" t="s">
        <v>301</v>
      </c>
    </row>
    <row r="66" s="130" customFormat="1" ht="21" customHeight="1" spans="1:10">
      <c r="A66" s="156" t="s">
        <v>139</v>
      </c>
      <c r="B66" s="155" t="s">
        <v>302</v>
      </c>
      <c r="C66" s="155"/>
      <c r="D66" s="154"/>
      <c r="E66" s="154">
        <v>16.7</v>
      </c>
      <c r="F66" s="154">
        <f t="shared" si="11"/>
        <v>16.7</v>
      </c>
      <c r="G66" s="155"/>
      <c r="H66" s="154"/>
      <c r="I66" s="155"/>
      <c r="J66" s="155" t="s">
        <v>303</v>
      </c>
    </row>
    <row r="67" s="130" customFormat="1" ht="21" customHeight="1" spans="1:10">
      <c r="A67" s="156" t="s">
        <v>141</v>
      </c>
      <c r="B67" s="155" t="s">
        <v>304</v>
      </c>
      <c r="C67" s="155"/>
      <c r="D67" s="152"/>
      <c r="E67" s="154">
        <v>56</v>
      </c>
      <c r="F67" s="154">
        <f t="shared" si="11"/>
        <v>56</v>
      </c>
      <c r="G67" s="155"/>
      <c r="H67" s="194"/>
      <c r="I67" s="155"/>
      <c r="J67" s="184" t="s">
        <v>243</v>
      </c>
    </row>
    <row r="68" s="130" customFormat="1" ht="21" customHeight="1" spans="1:10">
      <c r="A68" s="156" t="s">
        <v>143</v>
      </c>
      <c r="B68" s="155" t="s">
        <v>305</v>
      </c>
      <c r="C68" s="154"/>
      <c r="D68" s="157"/>
      <c r="E68" s="154">
        <v>0</v>
      </c>
      <c r="F68" s="154">
        <f t="shared" si="11"/>
        <v>0</v>
      </c>
      <c r="G68" s="155"/>
      <c r="H68" s="194"/>
      <c r="I68" s="154"/>
      <c r="J68" s="140" t="s">
        <v>306</v>
      </c>
    </row>
    <row r="69" s="130" customFormat="1" ht="21" customHeight="1" spans="1:13">
      <c r="A69" s="156" t="s">
        <v>146</v>
      </c>
      <c r="B69" s="155" t="s">
        <v>307</v>
      </c>
      <c r="C69" s="154"/>
      <c r="D69" s="157"/>
      <c r="E69" s="154">
        <v>90.6</v>
      </c>
      <c r="F69" s="154">
        <f t="shared" si="11"/>
        <v>90.6</v>
      </c>
      <c r="G69" s="155"/>
      <c r="H69" s="194"/>
      <c r="I69" s="154"/>
      <c r="J69" s="184" t="s">
        <v>243</v>
      </c>
      <c r="M69" s="130" t="s">
        <v>308</v>
      </c>
    </row>
    <row r="70" s="130" customFormat="1" ht="21" customHeight="1" spans="1:10">
      <c r="A70" s="150" t="s">
        <v>26</v>
      </c>
      <c r="B70" s="155" t="s">
        <v>309</v>
      </c>
      <c r="C70" s="154"/>
      <c r="D70" s="157"/>
      <c r="E70" s="154">
        <f>F78*0.25%*0.6</f>
        <v>38.529435</v>
      </c>
      <c r="F70" s="154">
        <f t="shared" si="11"/>
        <v>38.529435</v>
      </c>
      <c r="G70" s="155"/>
      <c r="H70" s="194"/>
      <c r="I70" s="154"/>
      <c r="J70" s="155"/>
    </row>
    <row r="71" s="130" customFormat="1" ht="21" customHeight="1" spans="1:10">
      <c r="A71" s="150" t="s">
        <v>28</v>
      </c>
      <c r="B71" s="155" t="s">
        <v>310</v>
      </c>
      <c r="C71" s="154"/>
      <c r="D71" s="157"/>
      <c r="E71" s="154">
        <f>F78*0.25%*0.8</f>
        <v>51.37258</v>
      </c>
      <c r="F71" s="154">
        <f t="shared" si="11"/>
        <v>51.37258</v>
      </c>
      <c r="G71" s="155"/>
      <c r="H71" s="194"/>
      <c r="I71" s="154"/>
      <c r="J71" s="155"/>
    </row>
    <row r="72" s="130" customFormat="1" ht="21" customHeight="1" spans="1:10">
      <c r="A72" s="195" t="s">
        <v>13</v>
      </c>
      <c r="B72" s="196" t="s">
        <v>311</v>
      </c>
      <c r="C72" s="197"/>
      <c r="D72" s="198"/>
      <c r="E72" s="197"/>
      <c r="F72" s="197">
        <f>F4</f>
        <v>19015.61</v>
      </c>
      <c r="G72" s="155"/>
      <c r="H72" s="154"/>
      <c r="I72" s="155"/>
      <c r="J72" s="136"/>
    </row>
    <row r="73" s="130" customFormat="1" ht="21" customHeight="1" spans="1:10">
      <c r="A73" s="195" t="s">
        <v>31</v>
      </c>
      <c r="B73" s="196" t="s">
        <v>312</v>
      </c>
      <c r="C73" s="197"/>
      <c r="D73" s="198"/>
      <c r="E73" s="197"/>
      <c r="F73" s="197">
        <f>F17</f>
        <v>5627.405556511</v>
      </c>
      <c r="G73" s="155"/>
      <c r="H73" s="154"/>
      <c r="I73" s="155"/>
      <c r="J73" s="136"/>
    </row>
    <row r="74" s="130" customFormat="1" ht="27" customHeight="1" spans="1:10">
      <c r="A74" s="195" t="s">
        <v>151</v>
      </c>
      <c r="B74" s="199" t="s">
        <v>313</v>
      </c>
      <c r="C74" s="197"/>
      <c r="D74" s="198"/>
      <c r="E74" s="197"/>
      <c r="F74" s="197">
        <f>(F72+F73-F25-F59-F18)*0.05</f>
        <v>1043.27884447564</v>
      </c>
      <c r="G74" s="155"/>
      <c r="H74" s="155"/>
      <c r="I74" s="155"/>
      <c r="J74" s="184" t="s">
        <v>314</v>
      </c>
    </row>
    <row r="75" s="130" customFormat="1" ht="21" hidden="1" customHeight="1" spans="1:10">
      <c r="A75" s="195"/>
      <c r="B75" s="196" t="s">
        <v>315</v>
      </c>
      <c r="C75" s="197"/>
      <c r="D75" s="198"/>
      <c r="E75" s="197"/>
      <c r="F75" s="197">
        <f>SUM(F72:F74)</f>
        <v>25686.2944009866</v>
      </c>
      <c r="G75" s="155"/>
      <c r="H75" s="154"/>
      <c r="I75" s="155"/>
      <c r="J75" s="136"/>
    </row>
    <row r="76" s="130" customFormat="1" ht="21" customHeight="1" spans="1:10">
      <c r="A76" s="195" t="s">
        <v>155</v>
      </c>
      <c r="B76" s="196" t="s">
        <v>316</v>
      </c>
      <c r="C76" s="200"/>
      <c r="D76" s="201"/>
      <c r="E76" s="200"/>
      <c r="F76" s="197">
        <f>(0.35*F75/2*3.8%+(0.35*F75+0.35*F75/2*3.8%+0.35*F75/2)*3.8%)*0</f>
        <v>0</v>
      </c>
      <c r="G76" s="155"/>
      <c r="H76" s="154"/>
      <c r="I76" s="155"/>
      <c r="J76" s="202" t="s">
        <v>317</v>
      </c>
    </row>
    <row r="77" s="130" customFormat="1" ht="21" customHeight="1" spans="1:10">
      <c r="A77" s="195" t="s">
        <v>158</v>
      </c>
      <c r="B77" s="196" t="s">
        <v>318</v>
      </c>
      <c r="C77" s="200"/>
      <c r="D77" s="201"/>
      <c r="E77" s="200"/>
      <c r="F77" s="197">
        <f>F72+F73+F74+F76</f>
        <v>25686.2944009866</v>
      </c>
      <c r="G77" s="155"/>
      <c r="H77" s="154"/>
      <c r="I77" s="155"/>
      <c r="J77" s="136"/>
    </row>
    <row r="78" ht="21" customHeight="1" spans="6:6">
      <c r="F78" s="131">
        <v>25686.29</v>
      </c>
    </row>
  </sheetData>
  <mergeCells count="17">
    <mergeCell ref="A1:J1"/>
    <mergeCell ref="C2:F2"/>
    <mergeCell ref="G2:I2"/>
    <mergeCell ref="P20:Q20"/>
    <mergeCell ref="R20:S20"/>
    <mergeCell ref="U20:V20"/>
    <mergeCell ref="P21:Q21"/>
    <mergeCell ref="R21:S21"/>
    <mergeCell ref="U21:V21"/>
    <mergeCell ref="P22:Q22"/>
    <mergeCell ref="R22:S22"/>
    <mergeCell ref="U22:V22"/>
    <mergeCell ref="P23:Q23"/>
    <mergeCell ref="R23:S23"/>
    <mergeCell ref="U23:V23"/>
    <mergeCell ref="A2:A3"/>
    <mergeCell ref="B2:B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tabSelected="1" view="pageBreakPreview" zoomScaleNormal="100" zoomScaleSheetLayoutView="100" workbookViewId="0">
      <selection activeCell="C77" sqref="C77"/>
    </sheetView>
  </sheetViews>
  <sheetFormatPr defaultColWidth="9" defaultRowHeight="13.5"/>
  <cols>
    <col min="1" max="1" width="9" style="1"/>
    <col min="2" max="2" width="30.25" style="1" customWidth="1"/>
    <col min="3" max="3" width="16.125" style="5" customWidth="1"/>
    <col min="4" max="4" width="14" style="5" customWidth="1"/>
    <col min="5" max="5" width="14.375" style="5" customWidth="1"/>
    <col min="6" max="6" width="11.75" style="1" customWidth="1"/>
    <col min="7" max="7" width="28.75" style="1" customWidth="1"/>
    <col min="8" max="9" width="9" style="1"/>
    <col min="10" max="10" width="12.625" style="1"/>
    <col min="11" max="11" width="10.375" style="1"/>
    <col min="12" max="12" width="12.625" style="1"/>
    <col min="13" max="13" width="13.75" style="1"/>
    <col min="14" max="16384" width="9" style="1"/>
  </cols>
  <sheetData>
    <row r="1" ht="70" customHeight="1" spans="1:7">
      <c r="A1" s="99" t="s">
        <v>319</v>
      </c>
      <c r="B1" s="99"/>
      <c r="C1" s="99"/>
      <c r="D1" s="99"/>
      <c r="E1" s="99"/>
      <c r="F1" s="99"/>
      <c r="G1" s="99"/>
    </row>
    <row r="2" ht="36.75" spans="1:7">
      <c r="A2" s="100" t="s">
        <v>1</v>
      </c>
      <c r="B2" s="101" t="s">
        <v>2</v>
      </c>
      <c r="C2" s="102" t="s">
        <v>320</v>
      </c>
      <c r="D2" s="102" t="s">
        <v>321</v>
      </c>
      <c r="E2" s="102" t="s">
        <v>322</v>
      </c>
      <c r="F2" s="102" t="s">
        <v>323</v>
      </c>
      <c r="G2" s="102" t="s">
        <v>5</v>
      </c>
    </row>
    <row r="3" ht="23" customHeight="1" spans="1:7">
      <c r="A3" s="103" t="s">
        <v>13</v>
      </c>
      <c r="B3" s="104" t="s">
        <v>324</v>
      </c>
      <c r="C3" s="105">
        <f>投资概算表!C4</f>
        <v>20237.194381</v>
      </c>
      <c r="D3" s="105">
        <f>审定概算!F4</f>
        <v>19015.61</v>
      </c>
      <c r="E3" s="105">
        <f>D3-C3</f>
        <v>-1221.584381</v>
      </c>
      <c r="F3" s="106">
        <f>E3/C3</f>
        <v>-0.0603633269514329</v>
      </c>
      <c r="G3" s="107"/>
    </row>
    <row r="4" ht="23" customHeight="1" spans="1:7">
      <c r="A4" s="108">
        <v>1</v>
      </c>
      <c r="B4" s="109" t="s">
        <v>16</v>
      </c>
      <c r="C4" s="105">
        <f>投资概算表!C5</f>
        <v>417.613567</v>
      </c>
      <c r="D4" s="105">
        <f>审定概算!F5</f>
        <v>386.72</v>
      </c>
      <c r="E4" s="105">
        <f t="shared" ref="E4:E35" si="0">D4-C4</f>
        <v>-30.893567</v>
      </c>
      <c r="F4" s="106">
        <f t="shared" ref="F4:F35" si="1">E4/C4</f>
        <v>-0.0739764448313528</v>
      </c>
      <c r="G4" s="107"/>
    </row>
    <row r="5" ht="23" customHeight="1" spans="1:7">
      <c r="A5" s="108">
        <v>2</v>
      </c>
      <c r="B5" s="109" t="s">
        <v>17</v>
      </c>
      <c r="C5" s="105">
        <f>投资概算表!C6</f>
        <v>1137.21833</v>
      </c>
      <c r="D5" s="105">
        <f>审定概算!F6</f>
        <v>1091.23</v>
      </c>
      <c r="E5" s="105">
        <f t="shared" si="0"/>
        <v>-45.9883299999999</v>
      </c>
      <c r="F5" s="106">
        <f t="shared" si="1"/>
        <v>-0.0404393147620122</v>
      </c>
      <c r="G5" s="107"/>
    </row>
    <row r="6" ht="23" customHeight="1" spans="1:7">
      <c r="A6" s="108">
        <v>3</v>
      </c>
      <c r="B6" s="109" t="s">
        <v>325</v>
      </c>
      <c r="C6" s="105">
        <f>投资概算表!C7</f>
        <v>313.72778</v>
      </c>
      <c r="D6" s="105">
        <f>审定概算!F7</f>
        <v>296.83</v>
      </c>
      <c r="E6" s="105">
        <f t="shared" si="0"/>
        <v>-16.89778</v>
      </c>
      <c r="F6" s="106">
        <f t="shared" si="1"/>
        <v>-0.053861280629978</v>
      </c>
      <c r="G6" s="107"/>
    </row>
    <row r="7" ht="23" customHeight="1" spans="1:7">
      <c r="A7" s="108">
        <v>4</v>
      </c>
      <c r="B7" s="109" t="s">
        <v>19</v>
      </c>
      <c r="C7" s="105">
        <f>投资概算表!C8</f>
        <v>857.212144</v>
      </c>
      <c r="D7" s="105">
        <f>审定概算!F8</f>
        <v>784.93</v>
      </c>
      <c r="E7" s="105">
        <f t="shared" si="0"/>
        <v>-72.282144</v>
      </c>
      <c r="F7" s="106">
        <f t="shared" si="1"/>
        <v>-0.0843223518307972</v>
      </c>
      <c r="G7" s="107"/>
    </row>
    <row r="8" ht="23" customHeight="1" spans="1:7">
      <c r="A8" s="108">
        <v>5</v>
      </c>
      <c r="B8" s="109" t="s">
        <v>20</v>
      </c>
      <c r="C8" s="105">
        <f>投资概算表!C9</f>
        <v>782.679164</v>
      </c>
      <c r="D8" s="105">
        <f>审定概算!F9</f>
        <v>698.37</v>
      </c>
      <c r="E8" s="105">
        <f t="shared" si="0"/>
        <v>-84.309164</v>
      </c>
      <c r="F8" s="106">
        <f t="shared" si="1"/>
        <v>-0.107718676921365</v>
      </c>
      <c r="G8" s="107"/>
    </row>
    <row r="9" ht="23" customHeight="1" spans="1:7">
      <c r="A9" s="108">
        <v>6</v>
      </c>
      <c r="B9" s="109" t="s">
        <v>21</v>
      </c>
      <c r="C9" s="105">
        <f>C10+C11</f>
        <v>270.990926</v>
      </c>
      <c r="D9" s="105">
        <f>审定概算!F10</f>
        <v>227.85</v>
      </c>
      <c r="E9" s="105">
        <f t="shared" si="0"/>
        <v>-43.140926</v>
      </c>
      <c r="F9" s="106">
        <f t="shared" si="1"/>
        <v>-0.159196939310064</v>
      </c>
      <c r="G9" s="107"/>
    </row>
    <row r="10" ht="23" customHeight="1" spans="1:7">
      <c r="A10" s="108">
        <v>6.1</v>
      </c>
      <c r="B10" s="109" t="s">
        <v>326</v>
      </c>
      <c r="C10" s="105">
        <f>投资概算表!C11</f>
        <v>193.735581</v>
      </c>
      <c r="D10" s="105">
        <f>审定概算!F11</f>
        <v>160.55</v>
      </c>
      <c r="E10" s="105">
        <f t="shared" si="0"/>
        <v>-33.185581</v>
      </c>
      <c r="F10" s="106">
        <f t="shared" si="1"/>
        <v>-0.171293165812428</v>
      </c>
      <c r="G10" s="107"/>
    </row>
    <row r="11" ht="23" customHeight="1" spans="1:7">
      <c r="A11" s="108">
        <v>6.2</v>
      </c>
      <c r="B11" s="109" t="s">
        <v>327</v>
      </c>
      <c r="C11" s="105">
        <f>投资概算表!D12</f>
        <v>77.255345</v>
      </c>
      <c r="D11" s="105">
        <f>审定概算!F12</f>
        <v>67.3</v>
      </c>
      <c r="E11" s="105">
        <f t="shared" si="0"/>
        <v>-9.95534500000001</v>
      </c>
      <c r="F11" s="106">
        <f t="shared" si="1"/>
        <v>-0.12886286379279</v>
      </c>
      <c r="G11" s="107"/>
    </row>
    <row r="12" ht="23" customHeight="1" spans="1:7">
      <c r="A12" s="108">
        <v>7</v>
      </c>
      <c r="B12" s="109" t="s">
        <v>25</v>
      </c>
      <c r="C12" s="105">
        <f>投资概算表!C13</f>
        <v>1563.552521</v>
      </c>
      <c r="D12" s="105">
        <f>审定概算!F13</f>
        <v>1381.84</v>
      </c>
      <c r="E12" s="105">
        <f t="shared" si="0"/>
        <v>-181.712521</v>
      </c>
      <c r="F12" s="106">
        <f t="shared" si="1"/>
        <v>-0.116217727616711</v>
      </c>
      <c r="G12" s="107"/>
    </row>
    <row r="13" ht="23" customHeight="1" spans="1:12">
      <c r="A13" s="108" t="s">
        <v>26</v>
      </c>
      <c r="B13" s="109" t="s">
        <v>328</v>
      </c>
      <c r="C13" s="105">
        <f>投资概算表!C14</f>
        <v>9777.377229</v>
      </c>
      <c r="D13" s="105">
        <f>审定概算!F14</f>
        <v>9283.64</v>
      </c>
      <c r="E13" s="105">
        <f t="shared" si="0"/>
        <v>-493.737229</v>
      </c>
      <c r="F13" s="106">
        <f t="shared" si="1"/>
        <v>-0.0504979216241714</v>
      </c>
      <c r="G13" s="107"/>
      <c r="J13" s="5"/>
      <c r="K13" s="5"/>
      <c r="L13" s="5"/>
    </row>
    <row r="14" ht="23" customHeight="1" spans="1:7">
      <c r="A14" s="108" t="s">
        <v>28</v>
      </c>
      <c r="B14" s="109" t="s">
        <v>329</v>
      </c>
      <c r="C14" s="105">
        <f>投资概算表!C15</f>
        <v>4703.386568</v>
      </c>
      <c r="D14" s="105">
        <f>审定概算!F15</f>
        <v>4389.53</v>
      </c>
      <c r="E14" s="105">
        <f t="shared" si="0"/>
        <v>-313.856568</v>
      </c>
      <c r="F14" s="106">
        <f t="shared" si="1"/>
        <v>-0.0667299111953411</v>
      </c>
      <c r="G14" s="107"/>
    </row>
    <row r="15" ht="23" customHeight="1" spans="1:7">
      <c r="A15" s="108">
        <v>10</v>
      </c>
      <c r="B15" s="109" t="s">
        <v>30</v>
      </c>
      <c r="C15" s="105">
        <f>投资概算表!C16</f>
        <v>490.691497</v>
      </c>
      <c r="D15" s="105">
        <f>审定概算!F16</f>
        <v>474.67</v>
      </c>
      <c r="E15" s="105">
        <f t="shared" si="0"/>
        <v>-16.021497</v>
      </c>
      <c r="F15" s="106">
        <f t="shared" si="1"/>
        <v>-0.0326508551665406</v>
      </c>
      <c r="G15" s="107"/>
    </row>
    <row r="16" ht="23" customHeight="1" spans="1:7">
      <c r="A16" s="110" t="s">
        <v>31</v>
      </c>
      <c r="B16" s="53" t="s">
        <v>330</v>
      </c>
      <c r="C16" s="105">
        <f>投资概算表!F17</f>
        <v>6566.09542038697</v>
      </c>
      <c r="D16" s="105">
        <f>审定概算!F17</f>
        <v>5627.405556511</v>
      </c>
      <c r="E16" s="105">
        <f t="shared" si="0"/>
        <v>-938.689863875968</v>
      </c>
      <c r="F16" s="106">
        <f t="shared" si="1"/>
        <v>-0.142960131368399</v>
      </c>
      <c r="G16" s="107"/>
    </row>
    <row r="17" ht="23" customHeight="1" spans="1:7">
      <c r="A17" s="110" t="s">
        <v>33</v>
      </c>
      <c r="B17" s="53" t="s">
        <v>34</v>
      </c>
      <c r="C17" s="105">
        <f>投资概算表!F18</f>
        <v>735.8</v>
      </c>
      <c r="D17" s="105">
        <f>审定概算!F18</f>
        <v>735.8</v>
      </c>
      <c r="E17" s="105">
        <f t="shared" si="0"/>
        <v>0</v>
      </c>
      <c r="F17" s="106">
        <f t="shared" si="1"/>
        <v>0</v>
      </c>
      <c r="G17" s="111" t="s">
        <v>222</v>
      </c>
    </row>
    <row r="18" ht="23" customHeight="1" spans="1:7">
      <c r="A18" s="328" t="s">
        <v>36</v>
      </c>
      <c r="B18" s="113" t="s">
        <v>37</v>
      </c>
      <c r="C18" s="105">
        <f>投资概算表!F19</f>
        <v>63</v>
      </c>
      <c r="D18" s="105">
        <f>审定概算!F19</f>
        <v>63</v>
      </c>
      <c r="E18" s="105">
        <f t="shared" si="0"/>
        <v>0</v>
      </c>
      <c r="F18" s="106">
        <f t="shared" si="1"/>
        <v>0</v>
      </c>
      <c r="G18" s="114"/>
    </row>
    <row r="19" ht="23" customHeight="1" spans="1:7">
      <c r="A19" s="328" t="s">
        <v>38</v>
      </c>
      <c r="B19" s="113" t="s">
        <v>39</v>
      </c>
      <c r="C19" s="105">
        <f>投资概算表!F20</f>
        <v>68</v>
      </c>
      <c r="D19" s="105">
        <f>审定概算!F20</f>
        <v>68</v>
      </c>
      <c r="E19" s="105">
        <f t="shared" si="0"/>
        <v>0</v>
      </c>
      <c r="F19" s="106">
        <f t="shared" si="1"/>
        <v>0</v>
      </c>
      <c r="G19" s="114"/>
    </row>
    <row r="20" ht="23" customHeight="1" spans="1:7">
      <c r="A20" s="328" t="s">
        <v>40</v>
      </c>
      <c r="B20" s="113" t="s">
        <v>41</v>
      </c>
      <c r="C20" s="105">
        <f>投资概算表!F21</f>
        <v>234</v>
      </c>
      <c r="D20" s="105">
        <f>审定概算!F21</f>
        <v>234</v>
      </c>
      <c r="E20" s="105">
        <f t="shared" si="0"/>
        <v>0</v>
      </c>
      <c r="F20" s="106">
        <f t="shared" si="1"/>
        <v>0</v>
      </c>
      <c r="G20" s="114"/>
    </row>
    <row r="21" ht="23" customHeight="1" spans="1:7">
      <c r="A21" s="328" t="s">
        <v>42</v>
      </c>
      <c r="B21" s="113" t="s">
        <v>43</v>
      </c>
      <c r="C21" s="105">
        <f>投资概算表!F22</f>
        <v>177</v>
      </c>
      <c r="D21" s="105">
        <f>审定概算!F22</f>
        <v>177</v>
      </c>
      <c r="E21" s="105">
        <f t="shared" si="0"/>
        <v>0</v>
      </c>
      <c r="F21" s="106">
        <f t="shared" si="1"/>
        <v>0</v>
      </c>
      <c r="G21" s="114"/>
    </row>
    <row r="22" ht="23" customHeight="1" spans="1:7">
      <c r="A22" s="328" t="s">
        <v>44</v>
      </c>
      <c r="B22" s="113" t="s">
        <v>45</v>
      </c>
      <c r="C22" s="105">
        <f>投资概算表!F23</f>
        <v>177</v>
      </c>
      <c r="D22" s="105">
        <f>审定概算!F23</f>
        <v>177</v>
      </c>
      <c r="E22" s="105">
        <f t="shared" si="0"/>
        <v>0</v>
      </c>
      <c r="F22" s="106">
        <f t="shared" si="1"/>
        <v>0</v>
      </c>
      <c r="G22" s="114"/>
    </row>
    <row r="23" ht="23" customHeight="1" spans="1:7">
      <c r="A23" s="328" t="s">
        <v>46</v>
      </c>
      <c r="B23" s="113" t="s">
        <v>47</v>
      </c>
      <c r="C23" s="105">
        <f>投资概算表!F24</f>
        <v>16.8</v>
      </c>
      <c r="D23" s="105">
        <f>审定概算!F24</f>
        <v>16.8</v>
      </c>
      <c r="E23" s="105">
        <f t="shared" si="0"/>
        <v>0</v>
      </c>
      <c r="F23" s="106">
        <f t="shared" si="1"/>
        <v>0</v>
      </c>
      <c r="G23" s="114"/>
    </row>
    <row r="24" ht="23" customHeight="1" spans="1:7">
      <c r="A24" s="110" t="s">
        <v>48</v>
      </c>
      <c r="B24" s="53" t="s">
        <v>49</v>
      </c>
      <c r="C24" s="105">
        <f>投资概算表!F25</f>
        <v>168.242158789206</v>
      </c>
      <c r="D24" s="105">
        <f>审定概算!F25</f>
        <v>126.050369748151</v>
      </c>
      <c r="E24" s="105">
        <f t="shared" si="0"/>
        <v>-42.1917890410547</v>
      </c>
      <c r="F24" s="106">
        <f t="shared" si="1"/>
        <v>-0.250780121609814</v>
      </c>
      <c r="G24" s="115"/>
    </row>
    <row r="25" ht="23" customHeight="1" spans="1:7">
      <c r="A25" s="328" t="s">
        <v>36</v>
      </c>
      <c r="B25" s="113" t="s">
        <v>50</v>
      </c>
      <c r="C25" s="105">
        <f>投资概算表!F26</f>
        <v>70.1396493017534</v>
      </c>
      <c r="D25" s="105">
        <f>审定概算!F26</f>
        <v>49.3497532512338</v>
      </c>
      <c r="E25" s="105">
        <f t="shared" si="0"/>
        <v>-20.7898960505196</v>
      </c>
      <c r="F25" s="106">
        <f t="shared" si="1"/>
        <v>-0.296407185628741</v>
      </c>
      <c r="G25" s="111" t="s">
        <v>331</v>
      </c>
    </row>
    <row r="26" ht="23" customHeight="1" spans="1:7">
      <c r="A26" s="328" t="s">
        <v>38</v>
      </c>
      <c r="B26" s="113" t="s">
        <v>52</v>
      </c>
      <c r="C26" s="105">
        <f>投资概算表!F27</f>
        <v>6.5519672401638</v>
      </c>
      <c r="D26" s="105">
        <f>审定概算!F27</f>
        <v>0</v>
      </c>
      <c r="E26" s="105">
        <f t="shared" si="0"/>
        <v>-6.5519672401638</v>
      </c>
      <c r="F26" s="106">
        <f t="shared" si="1"/>
        <v>-1</v>
      </c>
      <c r="G26" s="111" t="s">
        <v>332</v>
      </c>
    </row>
    <row r="27" ht="23" customHeight="1" spans="1:7">
      <c r="A27" s="328" t="s">
        <v>40</v>
      </c>
      <c r="B27" s="113" t="s">
        <v>54</v>
      </c>
      <c r="C27" s="105">
        <f>投资概算表!F28</f>
        <v>66.4256678716607</v>
      </c>
      <c r="D27" s="105">
        <f>审定概算!F28</f>
        <v>51.5757421212894</v>
      </c>
      <c r="E27" s="105">
        <f t="shared" si="0"/>
        <v>-14.8499257503713</v>
      </c>
      <c r="F27" s="106">
        <f t="shared" si="1"/>
        <v>-0.223557040917714</v>
      </c>
      <c r="G27" s="111" t="s">
        <v>331</v>
      </c>
    </row>
    <row r="28" ht="23" customHeight="1" spans="1:7">
      <c r="A28" s="328" t="s">
        <v>42</v>
      </c>
      <c r="B28" s="113" t="s">
        <v>55</v>
      </c>
      <c r="C28" s="105">
        <f>投资概算表!F29</f>
        <v>25.1248743756281</v>
      </c>
      <c r="D28" s="105">
        <f>审定概算!F29</f>
        <v>25.1248743756281</v>
      </c>
      <c r="E28" s="105">
        <f t="shared" si="0"/>
        <v>0</v>
      </c>
      <c r="F28" s="106">
        <f t="shared" si="1"/>
        <v>0</v>
      </c>
      <c r="G28" s="114"/>
    </row>
    <row r="29" ht="23" customHeight="1" spans="1:7">
      <c r="A29" s="110" t="s">
        <v>56</v>
      </c>
      <c r="B29" s="53" t="s">
        <v>57</v>
      </c>
      <c r="C29" s="105">
        <f>投资概算表!F30</f>
        <v>744.751377066359</v>
      </c>
      <c r="D29" s="105">
        <f>审定概算!F30</f>
        <v>595.93217644</v>
      </c>
      <c r="E29" s="105">
        <f t="shared" si="0"/>
        <v>-148.819200626359</v>
      </c>
      <c r="F29" s="106">
        <f t="shared" si="1"/>
        <v>-0.199824001954278</v>
      </c>
      <c r="G29" s="115"/>
    </row>
    <row r="30" ht="23" customHeight="1" spans="1:7">
      <c r="A30" s="110">
        <v>3.1</v>
      </c>
      <c r="B30" s="53" t="s">
        <v>58</v>
      </c>
      <c r="C30" s="105">
        <f>投资概算表!F31</f>
        <v>281.05</v>
      </c>
      <c r="D30" s="105">
        <f>审定概算!F31</f>
        <v>251.48</v>
      </c>
      <c r="E30" s="105">
        <f t="shared" si="0"/>
        <v>-29.57</v>
      </c>
      <c r="F30" s="106">
        <f t="shared" si="1"/>
        <v>-0.105212595623555</v>
      </c>
      <c r="G30" s="113" t="s">
        <v>333</v>
      </c>
    </row>
    <row r="31" ht="23" customHeight="1" spans="1:7">
      <c r="A31" s="110" t="s">
        <v>60</v>
      </c>
      <c r="B31" s="53" t="s">
        <v>61</v>
      </c>
      <c r="C31" s="105">
        <f>投资概算表!F32</f>
        <v>14.7725696</v>
      </c>
      <c r="D31" s="105">
        <f>审定概算!F32</f>
        <v>14.93</v>
      </c>
      <c r="E31" s="105">
        <f t="shared" si="0"/>
        <v>0.157430399999999</v>
      </c>
      <c r="F31" s="106">
        <f t="shared" si="1"/>
        <v>0.0106569408209117</v>
      </c>
      <c r="G31" s="113" t="s">
        <v>243</v>
      </c>
    </row>
    <row r="32" ht="23" customHeight="1" spans="1:7">
      <c r="A32" s="110" t="s">
        <v>63</v>
      </c>
      <c r="B32" s="53" t="s">
        <v>64</v>
      </c>
      <c r="C32" s="105">
        <f>投资概算表!F33</f>
        <v>35.6798766104153</v>
      </c>
      <c r="D32" s="105">
        <f>审定概算!F33</f>
        <v>32.82721004</v>
      </c>
      <c r="E32" s="105">
        <f t="shared" si="0"/>
        <v>-2.85266657041525</v>
      </c>
      <c r="F32" s="106">
        <f t="shared" si="1"/>
        <v>-0.079951693823474</v>
      </c>
      <c r="G32" s="113" t="s">
        <v>334</v>
      </c>
    </row>
    <row r="33" ht="23" customHeight="1" spans="1:7">
      <c r="A33" s="329" t="s">
        <v>335</v>
      </c>
      <c r="B33" s="113" t="s">
        <v>336</v>
      </c>
      <c r="C33" s="105">
        <f>投资概算表!F34</f>
        <v>28.5657798904</v>
      </c>
      <c r="D33" s="105">
        <f>审定概算!F34</f>
        <v>28.046244</v>
      </c>
      <c r="E33" s="105">
        <f t="shared" si="0"/>
        <v>-0.5195358904</v>
      </c>
      <c r="F33" s="106">
        <f t="shared" si="1"/>
        <v>-0.018187351873232</v>
      </c>
      <c r="G33" s="115"/>
    </row>
    <row r="34" ht="23" customHeight="1" spans="1:7">
      <c r="A34" s="329" t="s">
        <v>337</v>
      </c>
      <c r="B34" s="113" t="s">
        <v>338</v>
      </c>
      <c r="C34" s="105">
        <f>投资概算表!F35</f>
        <v>1.7301123042176</v>
      </c>
      <c r="D34" s="105">
        <f>审定概算!F35</f>
        <v>0</v>
      </c>
      <c r="E34" s="105">
        <f t="shared" si="0"/>
        <v>-1.7301123042176</v>
      </c>
      <c r="F34" s="106">
        <f t="shared" si="1"/>
        <v>-1</v>
      </c>
      <c r="G34" s="115"/>
    </row>
    <row r="35" ht="23" customHeight="1" spans="1:7">
      <c r="A35" s="329" t="s">
        <v>339</v>
      </c>
      <c r="B35" s="113" t="s">
        <v>340</v>
      </c>
      <c r="C35" s="105">
        <f>投资概算表!F36</f>
        <v>2.78163392</v>
      </c>
      <c r="D35" s="105">
        <f>审定概算!F36</f>
        <v>2.88048604</v>
      </c>
      <c r="E35" s="105">
        <f t="shared" si="0"/>
        <v>0.0988521199999997</v>
      </c>
      <c r="F35" s="106">
        <f t="shared" si="1"/>
        <v>0.0355374297420128</v>
      </c>
      <c r="G35" s="115"/>
    </row>
    <row r="36" ht="23" customHeight="1" spans="1:7">
      <c r="A36" s="329" t="s">
        <v>341</v>
      </c>
      <c r="B36" s="113" t="s">
        <v>342</v>
      </c>
      <c r="C36" s="105">
        <f>投资概算表!F37</f>
        <v>2.60235049579766</v>
      </c>
      <c r="D36" s="105">
        <f>审定概算!F37</f>
        <v>1.90048</v>
      </c>
      <c r="E36" s="105">
        <f t="shared" ref="E36:E75" si="2">D36-C36</f>
        <v>-0.701870495797658</v>
      </c>
      <c r="F36" s="106">
        <f t="shared" ref="F36:F68" si="3">E36/C36</f>
        <v>-0.269706366198964</v>
      </c>
      <c r="G36" s="115"/>
    </row>
    <row r="37" ht="23" customHeight="1" spans="1:7">
      <c r="A37" s="110" t="s">
        <v>74</v>
      </c>
      <c r="B37" s="53" t="s">
        <v>75</v>
      </c>
      <c r="C37" s="105">
        <f>投资概算表!F38</f>
        <v>94.13166588756</v>
      </c>
      <c r="D37" s="105">
        <f>审定概算!F38</f>
        <v>87.2449664</v>
      </c>
      <c r="E37" s="105">
        <f t="shared" si="2"/>
        <v>-6.88669948755999</v>
      </c>
      <c r="F37" s="106">
        <f t="shared" si="3"/>
        <v>-0.0731602848268524</v>
      </c>
      <c r="G37" s="117"/>
    </row>
    <row r="38" ht="23" customHeight="1" spans="1:7">
      <c r="A38" s="329" t="s">
        <v>343</v>
      </c>
      <c r="B38" s="113" t="s">
        <v>78</v>
      </c>
      <c r="C38" s="105">
        <f>投资概算表!F39</f>
        <v>48.4703444246</v>
      </c>
      <c r="D38" s="105">
        <f>审定概算!F39</f>
        <v>37.97</v>
      </c>
      <c r="E38" s="105">
        <f t="shared" si="2"/>
        <v>-10.5003444246</v>
      </c>
      <c r="F38" s="106">
        <f t="shared" si="3"/>
        <v>-0.216634409126889</v>
      </c>
      <c r="G38" s="95" t="s">
        <v>243</v>
      </c>
    </row>
    <row r="39" ht="23" customHeight="1" spans="1:7">
      <c r="A39" s="329" t="s">
        <v>344</v>
      </c>
      <c r="B39" s="113" t="s">
        <v>80</v>
      </c>
      <c r="C39" s="105">
        <f>投资概算表!F40</f>
        <v>45.66132146296</v>
      </c>
      <c r="D39" s="105">
        <f>审定概算!F40</f>
        <v>49.2749664</v>
      </c>
      <c r="E39" s="105">
        <f t="shared" si="2"/>
        <v>3.61364493704</v>
      </c>
      <c r="F39" s="106">
        <f t="shared" si="3"/>
        <v>0.0791401742494762</v>
      </c>
      <c r="G39" s="95" t="s">
        <v>345</v>
      </c>
    </row>
    <row r="40" ht="23" customHeight="1" spans="1:7">
      <c r="A40" s="118">
        <v>3.5</v>
      </c>
      <c r="B40" s="53" t="s">
        <v>81</v>
      </c>
      <c r="C40" s="105">
        <f>投资概算表!F41</f>
        <v>319.117264968384</v>
      </c>
      <c r="D40" s="105">
        <f>审定概算!F41</f>
        <v>209.45</v>
      </c>
      <c r="E40" s="105">
        <f t="shared" si="2"/>
        <v>-109.667264968384</v>
      </c>
      <c r="F40" s="106">
        <f t="shared" si="3"/>
        <v>-0.3436582003147</v>
      </c>
      <c r="G40" s="113" t="s">
        <v>243</v>
      </c>
    </row>
    <row r="41" ht="23" customHeight="1" spans="1:7">
      <c r="A41" s="110" t="s">
        <v>83</v>
      </c>
      <c r="B41" s="53" t="s">
        <v>84</v>
      </c>
      <c r="C41" s="105">
        <f>投资概算表!F42</f>
        <v>26</v>
      </c>
      <c r="D41" s="105">
        <f>审定概算!F42</f>
        <v>26</v>
      </c>
      <c r="E41" s="105">
        <f t="shared" si="2"/>
        <v>0</v>
      </c>
      <c r="F41" s="106">
        <f t="shared" si="3"/>
        <v>0</v>
      </c>
      <c r="G41" s="113" t="s">
        <v>243</v>
      </c>
    </row>
    <row r="42" ht="23" customHeight="1" spans="1:7">
      <c r="A42" s="119">
        <v>4.1</v>
      </c>
      <c r="B42" s="113" t="s">
        <v>86</v>
      </c>
      <c r="C42" s="105">
        <f>投资概算表!F43</f>
        <v>26</v>
      </c>
      <c r="D42" s="105">
        <f>审定概算!F43</f>
        <v>26</v>
      </c>
      <c r="E42" s="105">
        <f t="shared" si="2"/>
        <v>0</v>
      </c>
      <c r="F42" s="106">
        <f t="shared" si="3"/>
        <v>0</v>
      </c>
      <c r="G42" s="113" t="s">
        <v>243</v>
      </c>
    </row>
    <row r="43" ht="23" customHeight="1" spans="1:7">
      <c r="A43" s="110" t="s">
        <v>87</v>
      </c>
      <c r="B43" s="53" t="s">
        <v>88</v>
      </c>
      <c r="C43" s="105">
        <f>投资概算表!F44</f>
        <v>529.960347534</v>
      </c>
      <c r="D43" s="105">
        <f>审定概算!F44</f>
        <v>413.9503</v>
      </c>
      <c r="E43" s="105">
        <f t="shared" si="2"/>
        <v>-116.010047534</v>
      </c>
      <c r="F43" s="106">
        <f t="shared" si="3"/>
        <v>-0.218903259600111</v>
      </c>
      <c r="G43" s="117"/>
    </row>
    <row r="44" ht="42" customHeight="1" spans="1:7">
      <c r="A44" s="329" t="s">
        <v>335</v>
      </c>
      <c r="B44" s="113" t="s">
        <v>90</v>
      </c>
      <c r="C44" s="105">
        <f>投资概算表!F45</f>
        <v>121.886698356</v>
      </c>
      <c r="D44" s="105">
        <f>审定概算!F45</f>
        <v>41.52</v>
      </c>
      <c r="E44" s="105">
        <f t="shared" si="2"/>
        <v>-80.366698356</v>
      </c>
      <c r="F44" s="106">
        <f t="shared" si="3"/>
        <v>-0.659355774173728</v>
      </c>
      <c r="G44" s="95" t="s">
        <v>346</v>
      </c>
    </row>
    <row r="45" ht="23" customHeight="1" spans="1:7">
      <c r="A45" s="329" t="s">
        <v>337</v>
      </c>
      <c r="B45" s="113" t="s">
        <v>92</v>
      </c>
      <c r="C45" s="105">
        <f>投资概算表!F46</f>
        <v>60.943349178</v>
      </c>
      <c r="D45" s="105">
        <f>审定概算!F46</f>
        <v>25.3</v>
      </c>
      <c r="E45" s="105">
        <f t="shared" si="2"/>
        <v>-35.643349178</v>
      </c>
      <c r="F45" s="106">
        <f t="shared" si="3"/>
        <v>-0.584860360625978</v>
      </c>
      <c r="G45" s="95" t="s">
        <v>243</v>
      </c>
    </row>
    <row r="46" ht="23" customHeight="1" spans="1:7">
      <c r="A46" s="329" t="s">
        <v>339</v>
      </c>
      <c r="B46" s="113" t="s">
        <v>94</v>
      </c>
      <c r="C46" s="105">
        <f>投资概算表!F47</f>
        <v>347.1303</v>
      </c>
      <c r="D46" s="105">
        <f>审定概算!F47</f>
        <v>347.1303</v>
      </c>
      <c r="E46" s="105">
        <f t="shared" si="2"/>
        <v>0</v>
      </c>
      <c r="F46" s="106">
        <f t="shared" si="3"/>
        <v>0</v>
      </c>
      <c r="G46" s="120" t="s">
        <v>347</v>
      </c>
    </row>
    <row r="47" ht="23" customHeight="1" spans="1:7">
      <c r="A47" s="110" t="s">
        <v>96</v>
      </c>
      <c r="B47" s="53" t="s">
        <v>97</v>
      </c>
      <c r="C47" s="105">
        <f>投资概算表!F48</f>
        <v>4199.72153699741</v>
      </c>
      <c r="D47" s="105">
        <f>审定概算!F48</f>
        <v>3555.97271032285</v>
      </c>
      <c r="E47" s="105">
        <f t="shared" si="2"/>
        <v>-643.748826674553</v>
      </c>
      <c r="F47" s="106">
        <f t="shared" si="3"/>
        <v>-0.153283692979035</v>
      </c>
      <c r="G47" s="121"/>
    </row>
    <row r="48" ht="23" customHeight="1" spans="1:7">
      <c r="A48" s="110" t="s">
        <v>98</v>
      </c>
      <c r="B48" s="53" t="s">
        <v>99</v>
      </c>
      <c r="C48" s="105">
        <f>投资概算表!F49</f>
        <v>4.3</v>
      </c>
      <c r="D48" s="105">
        <f>审定概算!F49</f>
        <v>0</v>
      </c>
      <c r="E48" s="105">
        <f t="shared" si="2"/>
        <v>-4.3</v>
      </c>
      <c r="F48" s="106">
        <f t="shared" si="3"/>
        <v>-1</v>
      </c>
      <c r="G48" s="95" t="s">
        <v>348</v>
      </c>
    </row>
    <row r="49" ht="23" customHeight="1" spans="1:7">
      <c r="A49" s="329" t="s">
        <v>335</v>
      </c>
      <c r="B49" s="113" t="s">
        <v>101</v>
      </c>
      <c r="C49" s="105">
        <f>投资概算表!F50</f>
        <v>4.3</v>
      </c>
      <c r="D49" s="105">
        <f>审定概算!F50</f>
        <v>0</v>
      </c>
      <c r="E49" s="105">
        <f t="shared" si="2"/>
        <v>-4.3</v>
      </c>
      <c r="F49" s="106">
        <f t="shared" si="3"/>
        <v>-1</v>
      </c>
      <c r="G49" s="117"/>
    </row>
    <row r="50" ht="23" customHeight="1" spans="1:7">
      <c r="A50" s="110" t="s">
        <v>102</v>
      </c>
      <c r="B50" s="53" t="s">
        <v>103</v>
      </c>
      <c r="C50" s="105">
        <f>投资概算表!F51</f>
        <v>97.741232440625</v>
      </c>
      <c r="D50" s="105">
        <f>审定概算!F51</f>
        <v>92.99747575</v>
      </c>
      <c r="E50" s="105">
        <f t="shared" si="2"/>
        <v>-4.74375669062501</v>
      </c>
      <c r="F50" s="106">
        <f t="shared" si="3"/>
        <v>-0.0485338333901887</v>
      </c>
      <c r="G50" s="122"/>
    </row>
    <row r="51" ht="23" customHeight="1" spans="1:7">
      <c r="A51" s="329" t="s">
        <v>335</v>
      </c>
      <c r="B51" s="113" t="s">
        <v>104</v>
      </c>
      <c r="C51" s="105">
        <f>投资概算表!F52</f>
        <v>36.237194381</v>
      </c>
      <c r="D51" s="105">
        <f>审定概算!F52</f>
        <v>34.94831</v>
      </c>
      <c r="E51" s="105">
        <f t="shared" si="2"/>
        <v>-1.288884381</v>
      </c>
      <c r="F51" s="106">
        <f t="shared" si="3"/>
        <v>-0.0355679958952836</v>
      </c>
      <c r="G51" s="95" t="s">
        <v>349</v>
      </c>
    </row>
    <row r="52" ht="23" customHeight="1" spans="1:7">
      <c r="A52" s="329" t="s">
        <v>350</v>
      </c>
      <c r="B52" s="113" t="s">
        <v>107</v>
      </c>
      <c r="C52" s="105">
        <f>投资概算表!F53</f>
        <v>45.3557915715</v>
      </c>
      <c r="D52" s="105">
        <f>审定概算!F53</f>
        <v>42.370775</v>
      </c>
      <c r="E52" s="105">
        <f t="shared" si="2"/>
        <v>-2.98501657150001</v>
      </c>
      <c r="F52" s="106">
        <f t="shared" si="3"/>
        <v>-0.065813349697455</v>
      </c>
      <c r="G52" s="95" t="s">
        <v>349</v>
      </c>
    </row>
    <row r="53" ht="23" customHeight="1" spans="1:7">
      <c r="A53" s="329" t="s">
        <v>339</v>
      </c>
      <c r="B53" s="113" t="s">
        <v>108</v>
      </c>
      <c r="C53" s="105">
        <f>投资概算表!F54</f>
        <v>15.1423166286</v>
      </c>
      <c r="D53" s="105">
        <f>审定概算!F54</f>
        <v>14.704683</v>
      </c>
      <c r="E53" s="105">
        <f t="shared" si="2"/>
        <v>-0.4376336286</v>
      </c>
      <c r="F53" s="106">
        <f t="shared" si="3"/>
        <v>-0.028901365579255</v>
      </c>
      <c r="G53" s="95" t="s">
        <v>349</v>
      </c>
    </row>
    <row r="54" ht="23" customHeight="1" spans="1:7">
      <c r="A54" s="329" t="s">
        <v>351</v>
      </c>
      <c r="B54" s="113" t="s">
        <v>110</v>
      </c>
      <c r="C54" s="105">
        <f>投资概算表!F55</f>
        <v>1.005929859525</v>
      </c>
      <c r="D54" s="105">
        <f>审定概算!F55</f>
        <v>0.97370775</v>
      </c>
      <c r="E54" s="105">
        <f t="shared" si="2"/>
        <v>-0.0322221095250002</v>
      </c>
      <c r="F54" s="106">
        <f t="shared" si="3"/>
        <v>-0.0320321632963708</v>
      </c>
      <c r="G54" s="95" t="s">
        <v>352</v>
      </c>
    </row>
    <row r="55" ht="23" customHeight="1" spans="1:7">
      <c r="A55" s="110">
        <v>6.3</v>
      </c>
      <c r="B55" s="53" t="s">
        <v>112</v>
      </c>
      <c r="C55" s="105">
        <f>投资概算表!F56</f>
        <v>4.736</v>
      </c>
      <c r="D55" s="105">
        <f>审定概算!F56</f>
        <v>3.29</v>
      </c>
      <c r="E55" s="105">
        <f t="shared" si="2"/>
        <v>-1.446</v>
      </c>
      <c r="F55" s="106">
        <f t="shared" si="3"/>
        <v>-0.305320945945946</v>
      </c>
      <c r="G55" s="113" t="s">
        <v>353</v>
      </c>
    </row>
    <row r="56" ht="23" customHeight="1" spans="1:7">
      <c r="A56" s="110" t="s">
        <v>114</v>
      </c>
      <c r="B56" s="53" t="s">
        <v>354</v>
      </c>
      <c r="C56" s="105">
        <f>投资概算表!F57</f>
        <v>101.57224863</v>
      </c>
      <c r="D56" s="105">
        <f>审定概算!F57</f>
        <v>95.07805</v>
      </c>
      <c r="E56" s="105">
        <f t="shared" si="2"/>
        <v>-6.49419863000003</v>
      </c>
      <c r="F56" s="106">
        <f t="shared" si="3"/>
        <v>-0.0639367417537109</v>
      </c>
      <c r="G56" s="95" t="s">
        <v>355</v>
      </c>
    </row>
    <row r="57" ht="23" customHeight="1" spans="1:7">
      <c r="A57" s="110" t="s">
        <v>117</v>
      </c>
      <c r="B57" s="53" t="s">
        <v>118</v>
      </c>
      <c r="C57" s="105">
        <f>投资概算表!F58</f>
        <v>60.943349178</v>
      </c>
      <c r="D57" s="105">
        <f>审定概算!F58</f>
        <v>57.04683</v>
      </c>
      <c r="E57" s="105">
        <f t="shared" si="2"/>
        <v>-3.89651917800001</v>
      </c>
      <c r="F57" s="106">
        <f t="shared" si="3"/>
        <v>-0.0639367417537108</v>
      </c>
      <c r="G57" s="95" t="s">
        <v>356</v>
      </c>
    </row>
    <row r="58" ht="23" customHeight="1" spans="1:7">
      <c r="A58" s="110" t="s">
        <v>120</v>
      </c>
      <c r="B58" s="53" t="s">
        <v>121</v>
      </c>
      <c r="C58" s="105">
        <f>投资概算表!F59</f>
        <v>3456.5344</v>
      </c>
      <c r="D58" s="105">
        <f>审定概算!F59</f>
        <v>2915.58829725</v>
      </c>
      <c r="E58" s="105">
        <f t="shared" si="2"/>
        <v>-540.94610275</v>
      </c>
      <c r="F58" s="106">
        <f t="shared" si="3"/>
        <v>-0.156499557114201</v>
      </c>
      <c r="G58" s="113" t="s">
        <v>357</v>
      </c>
    </row>
    <row r="59" ht="23" customHeight="1" spans="1:7">
      <c r="A59" s="118">
        <v>6.7</v>
      </c>
      <c r="B59" s="53" t="s">
        <v>124</v>
      </c>
      <c r="C59" s="105">
        <f>投资概算表!F60</f>
        <v>100</v>
      </c>
      <c r="D59" s="105">
        <f>审定概算!F60</f>
        <v>100</v>
      </c>
      <c r="E59" s="105">
        <f t="shared" si="2"/>
        <v>0</v>
      </c>
      <c r="F59" s="106">
        <f t="shared" si="3"/>
        <v>0</v>
      </c>
      <c r="G59" s="113" t="s">
        <v>293</v>
      </c>
    </row>
    <row r="60" ht="23" customHeight="1" spans="1:7">
      <c r="A60" s="110" t="s">
        <v>126</v>
      </c>
      <c r="B60" s="53" t="s">
        <v>127</v>
      </c>
      <c r="C60" s="105">
        <f>投资概算表!F61</f>
        <v>142.201148082</v>
      </c>
      <c r="D60" s="105">
        <f>审定概算!F61</f>
        <v>106.487416</v>
      </c>
      <c r="E60" s="105">
        <f t="shared" si="2"/>
        <v>-35.713732082</v>
      </c>
      <c r="F60" s="106">
        <f t="shared" si="3"/>
        <v>-0.251149393402969</v>
      </c>
      <c r="G60" s="113" t="s">
        <v>358</v>
      </c>
    </row>
    <row r="61" ht="23" customHeight="1" spans="1:7">
      <c r="A61" s="118">
        <v>6.9</v>
      </c>
      <c r="B61" s="123" t="s">
        <v>129</v>
      </c>
      <c r="C61" s="105">
        <f>投资概算表!F62</f>
        <v>24.3466434667826</v>
      </c>
      <c r="D61" s="105">
        <f>审定概算!F62</f>
        <v>19.6074291628542</v>
      </c>
      <c r="E61" s="105">
        <f t="shared" si="2"/>
        <v>-4.7392143039284</v>
      </c>
      <c r="F61" s="106">
        <f t="shared" si="3"/>
        <v>-0.19465575656843</v>
      </c>
      <c r="G61" s="113" t="s">
        <v>359</v>
      </c>
    </row>
    <row r="62" ht="23" customHeight="1" spans="1:7">
      <c r="A62" s="124">
        <v>6.1</v>
      </c>
      <c r="B62" s="123" t="s">
        <v>131</v>
      </c>
      <c r="C62" s="105">
        <f>投资概算表!F63</f>
        <v>207.3465152</v>
      </c>
      <c r="D62" s="105">
        <f>审定概算!F63</f>
        <v>165.87721216</v>
      </c>
      <c r="E62" s="105">
        <f t="shared" si="2"/>
        <v>-41.46930304</v>
      </c>
      <c r="F62" s="106">
        <f t="shared" si="3"/>
        <v>-0.2</v>
      </c>
      <c r="G62" s="113" t="s">
        <v>298</v>
      </c>
    </row>
    <row r="63" ht="23" customHeight="1" spans="1:7">
      <c r="A63" s="110" t="s">
        <v>133</v>
      </c>
      <c r="B63" s="53" t="s">
        <v>134</v>
      </c>
      <c r="C63" s="105">
        <f>投资概算表!F64</f>
        <v>161.62</v>
      </c>
      <c r="D63" s="105">
        <f>审定概算!F64</f>
        <v>173.7</v>
      </c>
      <c r="E63" s="105">
        <f t="shared" si="2"/>
        <v>12.08</v>
      </c>
      <c r="F63" s="106">
        <f t="shared" si="3"/>
        <v>0.0747432248484098</v>
      </c>
      <c r="G63" s="113" t="s">
        <v>293</v>
      </c>
    </row>
    <row r="64" ht="23" customHeight="1" spans="1:7">
      <c r="A64" s="112" t="s">
        <v>136</v>
      </c>
      <c r="B64" s="113" t="s">
        <v>137</v>
      </c>
      <c r="C64" s="105">
        <f>投资概算表!F65</f>
        <v>35</v>
      </c>
      <c r="D64" s="105">
        <f>审定概算!F65</f>
        <v>10.4</v>
      </c>
      <c r="E64" s="105">
        <f t="shared" si="2"/>
        <v>-24.6</v>
      </c>
      <c r="F64" s="106">
        <f t="shared" si="3"/>
        <v>-0.702857142857143</v>
      </c>
      <c r="G64" s="113" t="s">
        <v>360</v>
      </c>
    </row>
    <row r="65" ht="23" customHeight="1" spans="1:7">
      <c r="A65" s="112" t="s">
        <v>139</v>
      </c>
      <c r="B65" s="113" t="s">
        <v>140</v>
      </c>
      <c r="C65" s="105">
        <f>投资概算表!F66</f>
        <v>20</v>
      </c>
      <c r="D65" s="105">
        <f>审定概算!F66</f>
        <v>16.7</v>
      </c>
      <c r="E65" s="105">
        <f t="shared" si="2"/>
        <v>-3.3</v>
      </c>
      <c r="F65" s="106">
        <f t="shared" si="3"/>
        <v>-0.165</v>
      </c>
      <c r="G65" s="113" t="s">
        <v>243</v>
      </c>
    </row>
    <row r="66" ht="23" customHeight="1" spans="1:7">
      <c r="A66" s="112" t="s">
        <v>141</v>
      </c>
      <c r="B66" s="113" t="s">
        <v>142</v>
      </c>
      <c r="C66" s="105">
        <f>投资概算表!F67</f>
        <v>56</v>
      </c>
      <c r="D66" s="105">
        <f>审定概算!F67</f>
        <v>56</v>
      </c>
      <c r="E66" s="105">
        <f t="shared" si="2"/>
        <v>0</v>
      </c>
      <c r="F66" s="106">
        <f t="shared" si="3"/>
        <v>0</v>
      </c>
      <c r="G66" s="113" t="s">
        <v>243</v>
      </c>
    </row>
    <row r="67" ht="23" customHeight="1" spans="1:7">
      <c r="A67" s="112" t="s">
        <v>143</v>
      </c>
      <c r="B67" s="113" t="s">
        <v>144</v>
      </c>
      <c r="C67" s="105">
        <f>投资概算表!F68</f>
        <v>19.6</v>
      </c>
      <c r="D67" s="105">
        <f>审定概算!F68</f>
        <v>0</v>
      </c>
      <c r="E67" s="105">
        <f t="shared" si="2"/>
        <v>-19.6</v>
      </c>
      <c r="F67" s="106">
        <f t="shared" si="3"/>
        <v>-1</v>
      </c>
      <c r="G67" s="125" t="s">
        <v>361</v>
      </c>
    </row>
    <row r="68" ht="23" customHeight="1" spans="1:7">
      <c r="A68" s="112" t="s">
        <v>146</v>
      </c>
      <c r="B68" s="113" t="s">
        <v>147</v>
      </c>
      <c r="C68" s="105">
        <f>投资概算表!F69</f>
        <v>31.02</v>
      </c>
      <c r="D68" s="105">
        <f>审定概算!F69</f>
        <v>90.6</v>
      </c>
      <c r="E68" s="105">
        <f t="shared" si="2"/>
        <v>59.58</v>
      </c>
      <c r="F68" s="106">
        <f t="shared" si="3"/>
        <v>1.92069632495164</v>
      </c>
      <c r="G68" s="113" t="s">
        <v>243</v>
      </c>
    </row>
    <row r="69" ht="23" customHeight="1" spans="1:7">
      <c r="A69" s="112" t="s">
        <v>26</v>
      </c>
      <c r="B69" s="113" t="s">
        <v>362</v>
      </c>
      <c r="C69" s="105">
        <v>0</v>
      </c>
      <c r="D69" s="105">
        <f>审定概算!F70</f>
        <v>38.529435</v>
      </c>
      <c r="E69" s="105">
        <f t="shared" si="2"/>
        <v>38.529435</v>
      </c>
      <c r="F69" s="106">
        <v>1</v>
      </c>
      <c r="G69" s="115"/>
    </row>
    <row r="70" ht="23" customHeight="1" spans="1:7">
      <c r="A70" s="112" t="s">
        <v>28</v>
      </c>
      <c r="B70" s="113" t="s">
        <v>363</v>
      </c>
      <c r="C70" s="105">
        <v>0</v>
      </c>
      <c r="D70" s="105">
        <f>审定概算!F71</f>
        <v>51.37258</v>
      </c>
      <c r="E70" s="105">
        <f t="shared" si="2"/>
        <v>51.37258</v>
      </c>
      <c r="F70" s="106">
        <v>1</v>
      </c>
      <c r="G70" s="115"/>
    </row>
    <row r="71" ht="23" customHeight="1" spans="1:7">
      <c r="A71" s="126" t="s">
        <v>13</v>
      </c>
      <c r="B71" s="127" t="s">
        <v>364</v>
      </c>
      <c r="C71" s="105">
        <f>投资概算表!F70</f>
        <v>20314.449726</v>
      </c>
      <c r="D71" s="105">
        <f>审定概算!F72</f>
        <v>19015.61</v>
      </c>
      <c r="E71" s="105">
        <f t="shared" si="2"/>
        <v>-1298.83972600001</v>
      </c>
      <c r="F71" s="106">
        <f>E71/C71</f>
        <v>-0.0639367417537109</v>
      </c>
      <c r="G71" s="128"/>
    </row>
    <row r="72" ht="23" customHeight="1" spans="1:7">
      <c r="A72" s="126" t="s">
        <v>31</v>
      </c>
      <c r="B72" s="127" t="s">
        <v>365</v>
      </c>
      <c r="C72" s="105">
        <f>投资概算表!F71</f>
        <v>6566.09542038697</v>
      </c>
      <c r="D72" s="105">
        <f>审定概算!F73</f>
        <v>5627.405556511</v>
      </c>
      <c r="E72" s="105">
        <f t="shared" si="2"/>
        <v>-938.689863875968</v>
      </c>
      <c r="F72" s="106">
        <f>E72/C72</f>
        <v>-0.142960131368399</v>
      </c>
      <c r="G72" s="128"/>
    </row>
    <row r="73" ht="23" customHeight="1" spans="1:7">
      <c r="A73" s="126" t="s">
        <v>151</v>
      </c>
      <c r="B73" s="129" t="s">
        <v>366</v>
      </c>
      <c r="C73" s="105">
        <f>投资概算表!F72</f>
        <v>1125.99842937989</v>
      </c>
      <c r="D73" s="105">
        <f>审定概算!F74</f>
        <v>1043.27884447564</v>
      </c>
      <c r="E73" s="105">
        <f t="shared" si="2"/>
        <v>-82.7195849042459</v>
      </c>
      <c r="F73" s="106">
        <f>E73/C73</f>
        <v>-0.0734633217470839</v>
      </c>
      <c r="G73" s="113" t="s">
        <v>367</v>
      </c>
    </row>
    <row r="74" ht="23" customHeight="1" spans="1:7">
      <c r="A74" s="126"/>
      <c r="B74" s="127" t="s">
        <v>368</v>
      </c>
      <c r="C74" s="105">
        <f>投资概算表!F73</f>
        <v>28006.5435757669</v>
      </c>
      <c r="D74" s="105">
        <f>审定概算!F75</f>
        <v>25686.2944009866</v>
      </c>
      <c r="E74" s="105">
        <f t="shared" si="2"/>
        <v>-2320.24917478022</v>
      </c>
      <c r="F74" s="106">
        <f>E74/C74</f>
        <v>-0.0828466807588442</v>
      </c>
      <c r="G74" s="128"/>
    </row>
    <row r="75" ht="23" customHeight="1" spans="1:7">
      <c r="A75" s="126" t="s">
        <v>155</v>
      </c>
      <c r="B75" s="127" t="s">
        <v>159</v>
      </c>
      <c r="C75" s="105">
        <f>投资概算表!F75</f>
        <v>28006.5435757669</v>
      </c>
      <c r="D75" s="105">
        <f>审定概算!F77</f>
        <v>25686.2944009866</v>
      </c>
      <c r="E75" s="105">
        <f t="shared" si="2"/>
        <v>-2320.24917478022</v>
      </c>
      <c r="F75" s="106">
        <f>E75/C75</f>
        <v>-0.0828466807588442</v>
      </c>
      <c r="G75" s="128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opLeftCell="A29" workbookViewId="0">
      <selection activeCell="A3" sqref="A3:K44"/>
    </sheetView>
  </sheetViews>
  <sheetFormatPr defaultColWidth="9" defaultRowHeight="14.25"/>
  <cols>
    <col min="1" max="1" width="7.625" style="40" customWidth="1"/>
    <col min="2" max="2" width="26.5" style="43" customWidth="1"/>
    <col min="3" max="3" width="6.3" style="40" customWidth="1"/>
    <col min="4" max="4" width="6.83333333333333" style="43" customWidth="1"/>
    <col min="5" max="5" width="13" style="43" customWidth="1"/>
    <col min="6" max="10" width="10.75" style="44" customWidth="1"/>
    <col min="11" max="11" width="37.25" style="43" customWidth="1"/>
    <col min="12" max="12" width="11.5" style="40"/>
    <col min="13" max="16384" width="9" style="40"/>
  </cols>
  <sheetData>
    <row r="1" s="40" customFormat="1" ht="33" customHeight="1" spans="1:11">
      <c r="A1" s="45" t="s">
        <v>369</v>
      </c>
      <c r="B1" s="45"/>
      <c r="C1" s="45"/>
      <c r="D1" s="45"/>
      <c r="E1" s="45"/>
      <c r="F1" s="46"/>
      <c r="G1" s="46"/>
      <c r="H1" s="46"/>
      <c r="I1" s="46"/>
      <c r="J1" s="46"/>
      <c r="K1" s="45"/>
    </row>
    <row r="2" s="41" customFormat="1" ht="31" customHeight="1" spans="1:11">
      <c r="A2" s="47" t="s">
        <v>370</v>
      </c>
      <c r="B2" s="48"/>
      <c r="C2" s="49"/>
      <c r="D2" s="48"/>
      <c r="E2" s="48"/>
      <c r="F2" s="50"/>
      <c r="G2" s="50"/>
      <c r="H2" s="50"/>
      <c r="I2" s="50"/>
      <c r="J2" s="50"/>
      <c r="K2" s="48"/>
    </row>
    <row r="3" s="41" customFormat="1" ht="31" customHeight="1" spans="1:11">
      <c r="A3" s="51" t="s">
        <v>371</v>
      </c>
      <c r="B3" s="51" t="s">
        <v>372</v>
      </c>
      <c r="C3" s="51" t="s">
        <v>10</v>
      </c>
      <c r="D3" s="52" t="s">
        <v>373</v>
      </c>
      <c r="E3" s="52"/>
      <c r="F3" s="52"/>
      <c r="G3" s="52" t="s">
        <v>374</v>
      </c>
      <c r="H3" s="52"/>
      <c r="I3" s="52"/>
      <c r="J3" s="51" t="s">
        <v>375</v>
      </c>
      <c r="K3" s="53" t="s">
        <v>5</v>
      </c>
    </row>
    <row r="4" s="41" customFormat="1" ht="31" customHeight="1" spans="1:11">
      <c r="A4" s="51" t="s">
        <v>371</v>
      </c>
      <c r="B4" s="51" t="s">
        <v>372</v>
      </c>
      <c r="C4" s="51" t="s">
        <v>10</v>
      </c>
      <c r="D4" s="53" t="s">
        <v>11</v>
      </c>
      <c r="E4" s="53" t="s">
        <v>376</v>
      </c>
      <c r="F4" s="51" t="s">
        <v>377</v>
      </c>
      <c r="G4" s="53" t="s">
        <v>11</v>
      </c>
      <c r="H4" s="53" t="s">
        <v>376</v>
      </c>
      <c r="I4" s="51" t="s">
        <v>377</v>
      </c>
      <c r="J4" s="51"/>
      <c r="K4" s="53"/>
    </row>
    <row r="5" s="41" customFormat="1" ht="23" customHeight="1" spans="1:11">
      <c r="A5" s="54" t="s">
        <v>378</v>
      </c>
      <c r="B5" s="55"/>
      <c r="C5" s="56" t="s">
        <v>379</v>
      </c>
      <c r="D5" s="56"/>
      <c r="E5" s="56"/>
      <c r="F5" s="57">
        <f>F6+F7+F8+F9+F10+F11+F12</f>
        <v>1550</v>
      </c>
      <c r="G5" s="58"/>
      <c r="H5" s="58"/>
      <c r="I5" s="57">
        <f>I6+I7+I8+I9+I10+I11+I12</f>
        <v>1365</v>
      </c>
      <c r="J5" s="67">
        <f>I5-F5</f>
        <v>-185</v>
      </c>
      <c r="K5" s="84"/>
    </row>
    <row r="6" s="42" customFormat="1" ht="63" customHeight="1" spans="1:15">
      <c r="A6" s="59">
        <v>1</v>
      </c>
      <c r="B6" s="60" t="s">
        <v>380</v>
      </c>
      <c r="C6" s="61" t="s">
        <v>22</v>
      </c>
      <c r="D6" s="60">
        <v>1</v>
      </c>
      <c r="E6" s="60">
        <v>220</v>
      </c>
      <c r="F6" s="62">
        <f t="shared" ref="F6:F12" si="0">D6*E6</f>
        <v>220</v>
      </c>
      <c r="G6" s="60">
        <v>1</v>
      </c>
      <c r="H6" s="60">
        <v>200</v>
      </c>
      <c r="I6" s="62">
        <f t="shared" ref="I6:I12" si="1">G6*H6</f>
        <v>200</v>
      </c>
      <c r="J6" s="62">
        <f t="shared" ref="J6:J45" si="2">I6-F6</f>
        <v>-20</v>
      </c>
      <c r="K6" s="85" t="s">
        <v>381</v>
      </c>
      <c r="L6" s="86"/>
      <c r="M6" s="86"/>
      <c r="N6" s="86"/>
      <c r="O6" s="86"/>
    </row>
    <row r="7" s="42" customFormat="1" ht="59" customHeight="1" spans="1:15">
      <c r="A7" s="59">
        <v>2</v>
      </c>
      <c r="B7" s="60" t="s">
        <v>382</v>
      </c>
      <c r="C7" s="61" t="s">
        <v>22</v>
      </c>
      <c r="D7" s="60">
        <v>1</v>
      </c>
      <c r="E7" s="60">
        <v>170</v>
      </c>
      <c r="F7" s="62">
        <f t="shared" si="0"/>
        <v>170</v>
      </c>
      <c r="G7" s="60">
        <v>1</v>
      </c>
      <c r="H7" s="60">
        <v>170</v>
      </c>
      <c r="I7" s="62">
        <f t="shared" si="1"/>
        <v>170</v>
      </c>
      <c r="J7" s="69">
        <f t="shared" si="2"/>
        <v>0</v>
      </c>
      <c r="K7" s="85" t="s">
        <v>381</v>
      </c>
      <c r="L7" s="86"/>
      <c r="M7" s="86"/>
      <c r="N7" s="86"/>
      <c r="O7" s="86"/>
    </row>
    <row r="8" s="42" customFormat="1" ht="85" customHeight="1" spans="1:15">
      <c r="A8" s="59">
        <v>3</v>
      </c>
      <c r="B8" s="60" t="s">
        <v>383</v>
      </c>
      <c r="C8" s="61" t="s">
        <v>15</v>
      </c>
      <c r="D8" s="60">
        <v>330</v>
      </c>
      <c r="E8" s="60">
        <v>2</v>
      </c>
      <c r="F8" s="62">
        <f t="shared" si="0"/>
        <v>660</v>
      </c>
      <c r="G8" s="60">
        <v>330</v>
      </c>
      <c r="H8" s="60">
        <v>1.5</v>
      </c>
      <c r="I8" s="62">
        <f t="shared" si="1"/>
        <v>495</v>
      </c>
      <c r="J8" s="69">
        <f t="shared" si="2"/>
        <v>-165</v>
      </c>
      <c r="K8" s="87" t="s">
        <v>384</v>
      </c>
      <c r="L8" s="86"/>
      <c r="M8" s="86"/>
      <c r="N8" s="86"/>
      <c r="O8" s="86"/>
    </row>
    <row r="9" s="42" customFormat="1" ht="46" customHeight="1" spans="1:15">
      <c r="A9" s="59">
        <v>4</v>
      </c>
      <c r="B9" s="60" t="s">
        <v>385</v>
      </c>
      <c r="C9" s="61" t="s">
        <v>386</v>
      </c>
      <c r="D9" s="60">
        <v>2</v>
      </c>
      <c r="E9" s="60">
        <v>150</v>
      </c>
      <c r="F9" s="62">
        <f t="shared" si="0"/>
        <v>300</v>
      </c>
      <c r="G9" s="60">
        <v>2</v>
      </c>
      <c r="H9" s="60">
        <v>150</v>
      </c>
      <c r="I9" s="62">
        <f t="shared" si="1"/>
        <v>300</v>
      </c>
      <c r="J9" s="69">
        <f t="shared" si="2"/>
        <v>0</v>
      </c>
      <c r="K9" s="85" t="s">
        <v>381</v>
      </c>
      <c r="L9" s="86"/>
      <c r="M9" s="86"/>
      <c r="N9" s="86"/>
      <c r="O9" s="86"/>
    </row>
    <row r="10" s="42" customFormat="1" ht="23" customHeight="1" spans="1:15">
      <c r="A10" s="59">
        <v>5</v>
      </c>
      <c r="B10" s="60" t="s">
        <v>387</v>
      </c>
      <c r="C10" s="61" t="s">
        <v>388</v>
      </c>
      <c r="D10" s="60">
        <v>1</v>
      </c>
      <c r="E10" s="60">
        <v>80</v>
      </c>
      <c r="F10" s="62">
        <f t="shared" si="0"/>
        <v>80</v>
      </c>
      <c r="G10" s="60">
        <v>1</v>
      </c>
      <c r="H10" s="60">
        <v>80</v>
      </c>
      <c r="I10" s="62">
        <f t="shared" si="1"/>
        <v>80</v>
      </c>
      <c r="J10" s="69">
        <f t="shared" si="2"/>
        <v>0</v>
      </c>
      <c r="K10" s="85"/>
      <c r="L10" s="86"/>
      <c r="M10" s="86"/>
      <c r="N10" s="86"/>
      <c r="O10" s="86"/>
    </row>
    <row r="11" s="42" customFormat="1" ht="33" customHeight="1" spans="1:15">
      <c r="A11" s="59">
        <v>6</v>
      </c>
      <c r="B11" s="60" t="s">
        <v>389</v>
      </c>
      <c r="C11" s="61" t="s">
        <v>386</v>
      </c>
      <c r="D11" s="60">
        <v>2</v>
      </c>
      <c r="E11" s="60">
        <v>45</v>
      </c>
      <c r="F11" s="62">
        <f t="shared" si="0"/>
        <v>90</v>
      </c>
      <c r="G11" s="60">
        <v>2</v>
      </c>
      <c r="H11" s="60">
        <v>45</v>
      </c>
      <c r="I11" s="62">
        <f t="shared" si="1"/>
        <v>90</v>
      </c>
      <c r="J11" s="69">
        <f t="shared" si="2"/>
        <v>0</v>
      </c>
      <c r="K11" s="87" t="s">
        <v>390</v>
      </c>
      <c r="L11" s="86"/>
      <c r="M11" s="86"/>
      <c r="N11" s="86"/>
      <c r="O11" s="86"/>
    </row>
    <row r="12" s="42" customFormat="1" ht="23" customHeight="1" spans="1:15">
      <c r="A12" s="59">
        <v>7</v>
      </c>
      <c r="B12" s="60" t="s">
        <v>391</v>
      </c>
      <c r="C12" s="61" t="s">
        <v>388</v>
      </c>
      <c r="D12" s="60">
        <v>1</v>
      </c>
      <c r="E12" s="60">
        <v>30</v>
      </c>
      <c r="F12" s="62">
        <f t="shared" si="0"/>
        <v>30</v>
      </c>
      <c r="G12" s="60">
        <v>1</v>
      </c>
      <c r="H12" s="60">
        <v>30</v>
      </c>
      <c r="I12" s="62">
        <f t="shared" si="1"/>
        <v>30</v>
      </c>
      <c r="J12" s="69">
        <f t="shared" si="2"/>
        <v>0</v>
      </c>
      <c r="K12" s="85"/>
      <c r="L12" s="86"/>
      <c r="M12" s="86"/>
      <c r="N12" s="86"/>
      <c r="O12" s="86"/>
    </row>
    <row r="13" s="41" customFormat="1" ht="23" customHeight="1" spans="1:11">
      <c r="A13" s="63" t="s">
        <v>150</v>
      </c>
      <c r="B13" s="64"/>
      <c r="C13" s="56" t="s">
        <v>379</v>
      </c>
      <c r="D13" s="56"/>
      <c r="E13" s="56"/>
      <c r="F13" s="57">
        <f>F14+F24</f>
        <v>1592.304</v>
      </c>
      <c r="G13" s="58"/>
      <c r="H13" s="58"/>
      <c r="I13" s="57">
        <f>I14+I24</f>
        <v>1334.61879375</v>
      </c>
      <c r="J13" s="68">
        <f t="shared" si="2"/>
        <v>-257.68520625</v>
      </c>
      <c r="K13" s="88"/>
    </row>
    <row r="14" s="42" customFormat="1" ht="23" customHeight="1" spans="1:15">
      <c r="A14" s="65">
        <v>1</v>
      </c>
      <c r="B14" s="52" t="s">
        <v>392</v>
      </c>
      <c r="C14" s="66" t="s">
        <v>379</v>
      </c>
      <c r="D14" s="52"/>
      <c r="E14" s="52"/>
      <c r="F14" s="67">
        <f>SUM(F15:F23)</f>
        <v>1152.894</v>
      </c>
      <c r="G14" s="68"/>
      <c r="H14" s="68"/>
      <c r="I14" s="67">
        <f>SUM(I15:I23)</f>
        <v>1098.68304375</v>
      </c>
      <c r="J14" s="68">
        <f t="shared" si="2"/>
        <v>-54.2109562500002</v>
      </c>
      <c r="K14" s="85"/>
      <c r="L14" s="86"/>
      <c r="M14" s="86"/>
      <c r="N14" s="86"/>
      <c r="O14" s="86"/>
    </row>
    <row r="15" s="42" customFormat="1" ht="23" customHeight="1" spans="1:15">
      <c r="A15" s="59">
        <v>1.1</v>
      </c>
      <c r="B15" s="60" t="s">
        <v>393</v>
      </c>
      <c r="C15" s="61" t="s">
        <v>379</v>
      </c>
      <c r="D15" s="60"/>
      <c r="E15" s="60"/>
      <c r="F15" s="62">
        <f>F5*4%</f>
        <v>62</v>
      </c>
      <c r="G15" s="69"/>
      <c r="H15" s="69"/>
      <c r="I15" s="62">
        <f>20+(I5-1000)*1.5%</f>
        <v>25.475</v>
      </c>
      <c r="J15" s="69">
        <f t="shared" si="2"/>
        <v>-36.525</v>
      </c>
      <c r="K15" s="60" t="s">
        <v>394</v>
      </c>
      <c r="L15" s="89"/>
      <c r="M15" s="86"/>
      <c r="N15" s="86"/>
      <c r="O15" s="86"/>
    </row>
    <row r="16" s="42" customFormat="1" ht="23" customHeight="1" spans="1:15">
      <c r="A16" s="59">
        <v>1.2</v>
      </c>
      <c r="B16" s="60" t="s">
        <v>395</v>
      </c>
      <c r="C16" s="61" t="s">
        <v>379</v>
      </c>
      <c r="D16" s="60"/>
      <c r="E16" s="60"/>
      <c r="F16" s="62">
        <f>F5*5%</f>
        <v>77.5</v>
      </c>
      <c r="G16" s="69"/>
      <c r="H16" s="69"/>
      <c r="I16" s="62">
        <f>I5*5%</f>
        <v>68.25</v>
      </c>
      <c r="J16" s="69">
        <f t="shared" si="2"/>
        <v>-9.25</v>
      </c>
      <c r="K16" s="60" t="s">
        <v>396</v>
      </c>
      <c r="L16" s="89"/>
      <c r="M16" s="86"/>
      <c r="N16" s="86"/>
      <c r="O16" s="86"/>
    </row>
    <row r="17" s="42" customFormat="1" ht="23" customHeight="1" spans="1:15">
      <c r="A17" s="59">
        <v>1.3</v>
      </c>
      <c r="B17" s="60" t="s">
        <v>397</v>
      </c>
      <c r="C17" s="61" t="s">
        <v>379</v>
      </c>
      <c r="D17" s="60"/>
      <c r="E17" s="60"/>
      <c r="F17" s="62">
        <f>F27*0.25</f>
        <v>16.01</v>
      </c>
      <c r="G17" s="69"/>
      <c r="H17" s="69"/>
      <c r="I17" s="62">
        <f>I27*0.25*0.5</f>
        <v>7.57404375</v>
      </c>
      <c r="J17" s="69">
        <f t="shared" si="2"/>
        <v>-8.43595625</v>
      </c>
      <c r="K17" s="85" t="s">
        <v>398</v>
      </c>
      <c r="L17" s="90"/>
      <c r="M17" s="90"/>
      <c r="N17" s="90"/>
      <c r="O17" s="90"/>
    </row>
    <row r="18" s="42" customFormat="1" ht="23" customHeight="1" spans="1:15">
      <c r="A18" s="59">
        <v>1.4</v>
      </c>
      <c r="B18" s="60" t="s">
        <v>399</v>
      </c>
      <c r="C18" s="61" t="s">
        <v>379</v>
      </c>
      <c r="D18" s="60"/>
      <c r="E18" s="60"/>
      <c r="F18" s="62">
        <v>300</v>
      </c>
      <c r="G18" s="69"/>
      <c r="H18" s="69"/>
      <c r="I18" s="62">
        <v>300</v>
      </c>
      <c r="J18" s="69">
        <f t="shared" si="2"/>
        <v>0</v>
      </c>
      <c r="K18" s="85" t="s">
        <v>400</v>
      </c>
      <c r="L18" s="90"/>
      <c r="M18" s="90"/>
      <c r="N18" s="90"/>
      <c r="O18" s="90"/>
    </row>
    <row r="19" s="42" customFormat="1" ht="32" customHeight="1" spans="1:15">
      <c r="A19" s="59">
        <v>1.5</v>
      </c>
      <c r="B19" s="60" t="s">
        <v>401</v>
      </c>
      <c r="C19" s="61" t="s">
        <v>379</v>
      </c>
      <c r="D19" s="60"/>
      <c r="E19" s="60"/>
      <c r="F19" s="62">
        <v>350</v>
      </c>
      <c r="G19" s="69"/>
      <c r="H19" s="69"/>
      <c r="I19" s="62">
        <v>350</v>
      </c>
      <c r="J19" s="69">
        <f t="shared" si="2"/>
        <v>0</v>
      </c>
      <c r="K19" s="85" t="s">
        <v>400</v>
      </c>
      <c r="L19" s="90"/>
      <c r="M19" s="90"/>
      <c r="N19" s="90"/>
      <c r="O19" s="90"/>
    </row>
    <row r="20" s="42" customFormat="1" ht="34" customHeight="1" spans="1:15">
      <c r="A20" s="59">
        <v>1.6</v>
      </c>
      <c r="B20" s="60" t="s">
        <v>402</v>
      </c>
      <c r="C20" s="61" t="s">
        <v>379</v>
      </c>
      <c r="D20" s="60"/>
      <c r="E20" s="60"/>
      <c r="F20" s="62">
        <v>250</v>
      </c>
      <c r="G20" s="69"/>
      <c r="H20" s="69"/>
      <c r="I20" s="62">
        <v>250</v>
      </c>
      <c r="J20" s="69">
        <f t="shared" si="2"/>
        <v>0</v>
      </c>
      <c r="K20" s="85" t="s">
        <v>400</v>
      </c>
      <c r="L20" s="90"/>
      <c r="M20" s="90"/>
      <c r="N20" s="90"/>
      <c r="O20" s="90"/>
    </row>
    <row r="21" s="42" customFormat="1" ht="23" customHeight="1" spans="1:15">
      <c r="A21" s="59">
        <v>1.7</v>
      </c>
      <c r="B21" s="60" t="s">
        <v>403</v>
      </c>
      <c r="C21" s="61" t="s">
        <v>379</v>
      </c>
      <c r="D21" s="60"/>
      <c r="E21" s="60"/>
      <c r="F21" s="62">
        <f>11.36*3</f>
        <v>34.08</v>
      </c>
      <c r="G21" s="69"/>
      <c r="H21" s="69"/>
      <c r="I21" s="62">
        <f>11.36*3</f>
        <v>34.08</v>
      </c>
      <c r="J21" s="69">
        <f t="shared" si="2"/>
        <v>0</v>
      </c>
      <c r="K21" s="85"/>
      <c r="L21" s="90"/>
      <c r="M21" s="90"/>
      <c r="N21" s="90"/>
      <c r="O21" s="90"/>
    </row>
    <row r="22" s="42" customFormat="1" ht="23" customHeight="1" spans="1:15">
      <c r="A22" s="59">
        <v>1.8</v>
      </c>
      <c r="B22" s="60" t="s">
        <v>404</v>
      </c>
      <c r="C22" s="61" t="s">
        <v>379</v>
      </c>
      <c r="D22" s="60"/>
      <c r="E22" s="60"/>
      <c r="F22" s="62">
        <f>F21*0.05</f>
        <v>1.704</v>
      </c>
      <c r="G22" s="69"/>
      <c r="H22" s="69"/>
      <c r="I22" s="62">
        <f>I21*0.05</f>
        <v>1.704</v>
      </c>
      <c r="J22" s="69">
        <f t="shared" si="2"/>
        <v>0</v>
      </c>
      <c r="K22" s="85"/>
      <c r="L22" s="90"/>
      <c r="M22" s="90"/>
      <c r="N22" s="90"/>
      <c r="O22" s="90"/>
    </row>
    <row r="23" s="42" customFormat="1" ht="23" customHeight="1" spans="1:15">
      <c r="A23" s="59">
        <v>1.9</v>
      </c>
      <c r="B23" s="60" t="s">
        <v>405</v>
      </c>
      <c r="C23" s="61" t="s">
        <v>379</v>
      </c>
      <c r="D23" s="60"/>
      <c r="E23" s="60"/>
      <c r="F23" s="62">
        <f>1000*(1.44*3+3*2+1*2)*50/10000</f>
        <v>61.6</v>
      </c>
      <c r="G23" s="69"/>
      <c r="H23" s="69"/>
      <c r="I23" s="62">
        <f>F23</f>
        <v>61.6</v>
      </c>
      <c r="J23" s="69">
        <f t="shared" si="2"/>
        <v>0</v>
      </c>
      <c r="K23" s="85" t="s">
        <v>400</v>
      </c>
      <c r="L23" s="90"/>
      <c r="M23" s="90"/>
      <c r="N23" s="90"/>
      <c r="O23" s="90"/>
    </row>
    <row r="24" s="42" customFormat="1" ht="23" customHeight="1" spans="1:15">
      <c r="A24" s="65">
        <v>2</v>
      </c>
      <c r="B24" s="52" t="s">
        <v>97</v>
      </c>
      <c r="C24" s="66" t="s">
        <v>379</v>
      </c>
      <c r="D24" s="52"/>
      <c r="E24" s="52"/>
      <c r="F24" s="67">
        <f>F25+F26+F31+F32+F33+F34+F35+F36+F37+F38</f>
        <v>439.41</v>
      </c>
      <c r="G24" s="68"/>
      <c r="H24" s="68"/>
      <c r="I24" s="67">
        <f>I25+I26+I31+I32+I33+I34+I35+I36+I37+I38</f>
        <v>235.93575</v>
      </c>
      <c r="J24" s="68">
        <f t="shared" si="2"/>
        <v>-203.47425</v>
      </c>
      <c r="K24" s="91"/>
      <c r="L24" s="90"/>
      <c r="M24" s="90"/>
      <c r="N24" s="90"/>
      <c r="O24" s="90"/>
    </row>
    <row r="25" s="42" customFormat="1" ht="23" customHeight="1" spans="1:15">
      <c r="A25" s="59">
        <v>2.1</v>
      </c>
      <c r="B25" s="60" t="s">
        <v>406</v>
      </c>
      <c r="C25" s="61" t="s">
        <v>379</v>
      </c>
      <c r="D25" s="60"/>
      <c r="E25" s="60"/>
      <c r="F25" s="62">
        <f>(30.1+(F5-1000)*(78.1-30.1)/(3000-1000))*1.1</f>
        <v>47.63</v>
      </c>
      <c r="G25" s="69"/>
      <c r="H25" s="69"/>
      <c r="I25" s="62">
        <f>(30.1+(I5-1000)*(78.1-30.1)/(3000-1000))*1.1*0.8</f>
        <v>34.1968</v>
      </c>
      <c r="J25" s="69">
        <f t="shared" si="2"/>
        <v>-13.4332</v>
      </c>
      <c r="K25" s="85" t="s">
        <v>407</v>
      </c>
      <c r="L25" s="90"/>
      <c r="M25" s="90"/>
      <c r="N25" s="90"/>
      <c r="O25" s="90"/>
    </row>
    <row r="26" s="42" customFormat="1" ht="23" customHeight="1" spans="1:15">
      <c r="A26" s="59">
        <v>2.2</v>
      </c>
      <c r="B26" s="62" t="s">
        <v>408</v>
      </c>
      <c r="C26" s="62" t="s">
        <v>379</v>
      </c>
      <c r="D26" s="62"/>
      <c r="E26" s="62"/>
      <c r="F26" s="62">
        <f>SUM(F27:F30)</f>
        <v>99.04</v>
      </c>
      <c r="G26" s="69"/>
      <c r="H26" s="69"/>
      <c r="I26" s="62">
        <f>SUM(I27:I30)</f>
        <v>95.59235</v>
      </c>
      <c r="J26" s="69">
        <f t="shared" si="2"/>
        <v>-3.44765000000002</v>
      </c>
      <c r="K26" s="92"/>
      <c r="L26" s="90"/>
      <c r="M26" s="90"/>
      <c r="N26" s="90"/>
      <c r="O26" s="90"/>
    </row>
    <row r="27" s="42" customFormat="1" ht="23" customHeight="1" spans="1:15">
      <c r="A27" s="59" t="s">
        <v>409</v>
      </c>
      <c r="B27" s="62" t="s">
        <v>410</v>
      </c>
      <c r="C27" s="62" t="s">
        <v>379</v>
      </c>
      <c r="D27" s="62"/>
      <c r="E27" s="62"/>
      <c r="F27" s="62">
        <v>64.04</v>
      </c>
      <c r="G27" s="69"/>
      <c r="H27" s="69"/>
      <c r="I27" s="62">
        <f>((38.8+(103.8-38.8)*(I5-1000)/(3000-1000)))*1.15*1.3*0.8</f>
        <v>60.59235</v>
      </c>
      <c r="J27" s="69">
        <f t="shared" si="2"/>
        <v>-3.44765000000002</v>
      </c>
      <c r="K27" s="93" t="s">
        <v>411</v>
      </c>
      <c r="L27" s="90"/>
      <c r="M27" s="90"/>
      <c r="N27" s="90"/>
      <c r="O27" s="90"/>
    </row>
    <row r="28" s="42" customFormat="1" ht="23" customHeight="1" spans="1:15">
      <c r="A28" s="59" t="s">
        <v>412</v>
      </c>
      <c r="B28" s="62" t="s">
        <v>413</v>
      </c>
      <c r="C28" s="62" t="s">
        <v>379</v>
      </c>
      <c r="D28" s="62"/>
      <c r="E28" s="62"/>
      <c r="F28" s="62">
        <v>5</v>
      </c>
      <c r="G28" s="69"/>
      <c r="H28" s="69"/>
      <c r="I28" s="62">
        <v>5</v>
      </c>
      <c r="J28" s="69">
        <f t="shared" si="2"/>
        <v>0</v>
      </c>
      <c r="K28" s="94" t="s">
        <v>400</v>
      </c>
      <c r="L28" s="90"/>
      <c r="M28" s="90"/>
      <c r="N28" s="90"/>
      <c r="O28" s="90"/>
    </row>
    <row r="29" s="42" customFormat="1" ht="23" customHeight="1" spans="1:15">
      <c r="A29" s="59" t="s">
        <v>414</v>
      </c>
      <c r="B29" s="62" t="s">
        <v>415</v>
      </c>
      <c r="C29" s="62" t="s">
        <v>379</v>
      </c>
      <c r="D29" s="70"/>
      <c r="E29" s="70"/>
      <c r="F29" s="62">
        <v>20</v>
      </c>
      <c r="G29" s="69"/>
      <c r="H29" s="69"/>
      <c r="I29" s="62">
        <v>20</v>
      </c>
      <c r="J29" s="69">
        <f t="shared" si="2"/>
        <v>0</v>
      </c>
      <c r="K29" s="94" t="s">
        <v>400</v>
      </c>
      <c r="L29" s="90"/>
      <c r="M29" s="90"/>
      <c r="N29" s="90"/>
      <c r="O29" s="90"/>
    </row>
    <row r="30" s="42" customFormat="1" ht="23" customHeight="1" spans="1:15">
      <c r="A30" s="59" t="s">
        <v>416</v>
      </c>
      <c r="B30" s="62" t="s">
        <v>417</v>
      </c>
      <c r="C30" s="62" t="s">
        <v>379</v>
      </c>
      <c r="D30" s="62"/>
      <c r="E30" s="62"/>
      <c r="F30" s="62">
        <v>10</v>
      </c>
      <c r="G30" s="69"/>
      <c r="H30" s="69"/>
      <c r="I30" s="62">
        <v>10</v>
      </c>
      <c r="J30" s="69">
        <f t="shared" si="2"/>
        <v>0</v>
      </c>
      <c r="K30" s="94" t="s">
        <v>400</v>
      </c>
      <c r="L30" s="90"/>
      <c r="M30" s="90"/>
      <c r="N30" s="90"/>
      <c r="O30" s="90"/>
    </row>
    <row r="31" s="42" customFormat="1" ht="23" customHeight="1" spans="1:14">
      <c r="A31" s="59">
        <v>2.3</v>
      </c>
      <c r="B31" s="61" t="s">
        <v>118</v>
      </c>
      <c r="C31" s="61" t="s">
        <v>379</v>
      </c>
      <c r="D31" s="61"/>
      <c r="E31" s="61"/>
      <c r="F31" s="62">
        <f>F5*0.6%</f>
        <v>9.3</v>
      </c>
      <c r="G31" s="69"/>
      <c r="H31" s="69"/>
      <c r="I31" s="62">
        <f>I5*0.3%</f>
        <v>4.095</v>
      </c>
      <c r="J31" s="69">
        <f t="shared" si="2"/>
        <v>-5.205</v>
      </c>
      <c r="K31" s="95" t="s">
        <v>418</v>
      </c>
      <c r="N31" s="90"/>
    </row>
    <row r="32" s="42" customFormat="1" ht="23" customHeight="1" spans="1:14">
      <c r="A32" s="59">
        <v>2.4</v>
      </c>
      <c r="B32" s="61" t="s">
        <v>419</v>
      </c>
      <c r="C32" s="61" t="s">
        <v>379</v>
      </c>
      <c r="D32" s="61"/>
      <c r="E32" s="61"/>
      <c r="F32" s="62">
        <f>F5*2%</f>
        <v>31</v>
      </c>
      <c r="G32" s="69"/>
      <c r="H32" s="69"/>
      <c r="I32" s="62">
        <f>I5*0.5%</f>
        <v>6.825</v>
      </c>
      <c r="J32" s="69">
        <f t="shared" si="2"/>
        <v>-24.175</v>
      </c>
      <c r="K32" s="95" t="s">
        <v>420</v>
      </c>
      <c r="N32" s="90"/>
    </row>
    <row r="33" s="42" customFormat="1" ht="23" customHeight="1" spans="1:11">
      <c r="A33" s="59">
        <v>2.5</v>
      </c>
      <c r="B33" s="61" t="s">
        <v>421</v>
      </c>
      <c r="C33" s="61" t="s">
        <v>379</v>
      </c>
      <c r="D33" s="61"/>
      <c r="E33" s="61"/>
      <c r="F33" s="62">
        <f>F5*1%</f>
        <v>15.5</v>
      </c>
      <c r="G33" s="69"/>
      <c r="H33" s="69"/>
      <c r="I33" s="62">
        <f>I5*1%</f>
        <v>13.65</v>
      </c>
      <c r="J33" s="69">
        <f t="shared" si="2"/>
        <v>-1.85</v>
      </c>
      <c r="K33" s="96" t="s">
        <v>422</v>
      </c>
    </row>
    <row r="34" s="42" customFormat="1" ht="23" customHeight="1" spans="1:12">
      <c r="A34" s="59">
        <v>2.6</v>
      </c>
      <c r="B34" s="61" t="s">
        <v>423</v>
      </c>
      <c r="C34" s="61" t="s">
        <v>379</v>
      </c>
      <c r="D34" s="61"/>
      <c r="E34" s="61"/>
      <c r="F34" s="62">
        <v>80</v>
      </c>
      <c r="G34" s="69"/>
      <c r="H34" s="69"/>
      <c r="I34" s="62">
        <v>50</v>
      </c>
      <c r="J34" s="69">
        <f t="shared" si="2"/>
        <v>-30</v>
      </c>
      <c r="K34" s="85" t="s">
        <v>398</v>
      </c>
      <c r="L34" s="42">
        <v>50</v>
      </c>
    </row>
    <row r="35" s="42" customFormat="1" ht="23" customHeight="1" spans="1:11">
      <c r="A35" s="59">
        <v>2.7</v>
      </c>
      <c r="B35" s="61" t="s">
        <v>127</v>
      </c>
      <c r="C35" s="61" t="s">
        <v>379</v>
      </c>
      <c r="D35" s="61"/>
      <c r="E35" s="61"/>
      <c r="F35" s="62">
        <f>F5*0.07</f>
        <v>108.5</v>
      </c>
      <c r="G35" s="69"/>
      <c r="H35" s="69"/>
      <c r="I35" s="62">
        <f>I5*0.007*0.8</f>
        <v>7.644</v>
      </c>
      <c r="J35" s="69">
        <f t="shared" si="2"/>
        <v>-100.856</v>
      </c>
      <c r="K35" s="88" t="s">
        <v>424</v>
      </c>
    </row>
    <row r="36" s="42" customFormat="1" ht="23" customHeight="1" spans="1:11">
      <c r="A36" s="59">
        <v>2.8</v>
      </c>
      <c r="B36" s="61" t="s">
        <v>425</v>
      </c>
      <c r="C36" s="61" t="s">
        <v>379</v>
      </c>
      <c r="D36" s="61"/>
      <c r="E36" s="61"/>
      <c r="F36" s="62">
        <f>F5*0.3%</f>
        <v>4.65</v>
      </c>
      <c r="G36" s="69"/>
      <c r="H36" s="69"/>
      <c r="I36" s="62">
        <f>I5*0.3%</f>
        <v>4.095</v>
      </c>
      <c r="J36" s="69">
        <f t="shared" si="2"/>
        <v>-0.555000000000001</v>
      </c>
      <c r="K36" s="88" t="s">
        <v>426</v>
      </c>
    </row>
    <row r="37" s="42" customFormat="1" ht="23" customHeight="1" spans="1:11">
      <c r="A37" s="59">
        <v>2.9</v>
      </c>
      <c r="B37" s="61" t="s">
        <v>427</v>
      </c>
      <c r="C37" s="61" t="s">
        <v>379</v>
      </c>
      <c r="D37" s="61"/>
      <c r="E37" s="61"/>
      <c r="F37" s="62">
        <v>10</v>
      </c>
      <c r="G37" s="69"/>
      <c r="H37" s="69"/>
      <c r="I37" s="62">
        <v>10</v>
      </c>
      <c r="J37" s="69">
        <f t="shared" si="2"/>
        <v>0</v>
      </c>
      <c r="K37" s="88" t="s">
        <v>428</v>
      </c>
    </row>
    <row r="38" s="42" customFormat="1" ht="23" customHeight="1" spans="1:11">
      <c r="A38" s="71">
        <v>3</v>
      </c>
      <c r="B38" s="61" t="s">
        <v>75</v>
      </c>
      <c r="C38" s="61" t="s">
        <v>379</v>
      </c>
      <c r="D38" s="61"/>
      <c r="E38" s="61"/>
      <c r="F38" s="62">
        <f>F39+F40+F41</f>
        <v>33.79</v>
      </c>
      <c r="G38" s="69"/>
      <c r="H38" s="69"/>
      <c r="I38" s="62">
        <f>I39+I40+I41</f>
        <v>9.8376</v>
      </c>
      <c r="J38" s="69">
        <f t="shared" si="2"/>
        <v>-23.9524</v>
      </c>
      <c r="K38" s="88"/>
    </row>
    <row r="39" s="42" customFormat="1" ht="23" customHeight="1" spans="1:11">
      <c r="A39" s="59">
        <v>3.1</v>
      </c>
      <c r="B39" s="61" t="s">
        <v>429</v>
      </c>
      <c r="C39" s="61" t="s">
        <v>379</v>
      </c>
      <c r="D39" s="61"/>
      <c r="E39" s="61"/>
      <c r="F39" s="62">
        <f>((500*0.5%+500*0.46%+(F5-1000)*0.4%))*1</f>
        <v>7</v>
      </c>
      <c r="G39" s="69"/>
      <c r="H39" s="69"/>
      <c r="I39" s="62">
        <f>((500*0.5%+500*0.46%+(I5-1000)*0.4%))*1*0.8</f>
        <v>5.008</v>
      </c>
      <c r="J39" s="69">
        <f t="shared" si="2"/>
        <v>-1.992</v>
      </c>
      <c r="K39" s="88" t="s">
        <v>430</v>
      </c>
    </row>
    <row r="40" s="42" customFormat="1" ht="23" customHeight="1" spans="1:11">
      <c r="A40" s="59">
        <v>3.2</v>
      </c>
      <c r="B40" s="61" t="s">
        <v>431</v>
      </c>
      <c r="C40" s="61" t="s">
        <v>379</v>
      </c>
      <c r="D40" s="61"/>
      <c r="E40" s="61"/>
      <c r="F40" s="62">
        <f>((500*0.49%+500*0.44%+(F5-1000)*0.38%))*1</f>
        <v>6.74</v>
      </c>
      <c r="G40" s="69"/>
      <c r="H40" s="69"/>
      <c r="I40" s="62">
        <f>((500*0.49%+500*0.44%+(I5-1000)*0.38%))*0.8</f>
        <v>4.8296</v>
      </c>
      <c r="J40" s="69">
        <f t="shared" si="2"/>
        <v>-1.9104</v>
      </c>
      <c r="K40" s="88" t="s">
        <v>430</v>
      </c>
    </row>
    <row r="41" s="42" customFormat="1" ht="23" customHeight="1" spans="1:11">
      <c r="A41" s="59">
        <v>3.3</v>
      </c>
      <c r="B41" s="61" t="s">
        <v>432</v>
      </c>
      <c r="C41" s="61" t="s">
        <v>379</v>
      </c>
      <c r="D41" s="61"/>
      <c r="E41" s="61"/>
      <c r="F41" s="62">
        <f>((500*15+500*13+(F5-1000)*11))/1000</f>
        <v>20.05</v>
      </c>
      <c r="G41" s="69"/>
      <c r="H41" s="69"/>
      <c r="I41" s="62">
        <v>0</v>
      </c>
      <c r="J41" s="69">
        <f t="shared" si="2"/>
        <v>-20.05</v>
      </c>
      <c r="K41" s="88" t="s">
        <v>433</v>
      </c>
    </row>
    <row r="42" s="41" customFormat="1" ht="23" customHeight="1" spans="1:15">
      <c r="A42" s="72" t="s">
        <v>434</v>
      </c>
      <c r="B42" s="67"/>
      <c r="C42" s="67"/>
      <c r="D42" s="67"/>
      <c r="E42" s="67"/>
      <c r="F42" s="67">
        <f>F5+F13</f>
        <v>3142.304</v>
      </c>
      <c r="G42" s="68"/>
      <c r="H42" s="68"/>
      <c r="I42" s="67">
        <f>I5+I13</f>
        <v>2699.61879375</v>
      </c>
      <c r="J42" s="68">
        <f t="shared" si="2"/>
        <v>-442.68520625</v>
      </c>
      <c r="K42" s="97"/>
      <c r="L42" s="40"/>
      <c r="M42" s="40"/>
      <c r="N42" s="40"/>
      <c r="O42" s="40"/>
    </row>
    <row r="43" s="41" customFormat="1" ht="23" customHeight="1" spans="1:15">
      <c r="A43" s="72" t="s">
        <v>435</v>
      </c>
      <c r="B43" s="67"/>
      <c r="C43" s="67"/>
      <c r="D43" s="67"/>
      <c r="E43" s="67"/>
      <c r="F43" s="67">
        <f>F42*10%</f>
        <v>314.2304</v>
      </c>
      <c r="G43" s="68"/>
      <c r="H43" s="68"/>
      <c r="I43" s="67">
        <f>I42*8%</f>
        <v>215.9695035</v>
      </c>
      <c r="J43" s="68">
        <f t="shared" si="2"/>
        <v>-98.2608965</v>
      </c>
      <c r="K43" s="96" t="s">
        <v>436</v>
      </c>
      <c r="L43" s="40"/>
      <c r="M43" s="40"/>
      <c r="N43" s="40"/>
      <c r="O43" s="40"/>
    </row>
    <row r="44" s="41" customFormat="1" ht="23" customHeight="1" spans="1:11">
      <c r="A44" s="73" t="s">
        <v>437</v>
      </c>
      <c r="B44" s="74"/>
      <c r="C44" s="75" t="s">
        <v>379</v>
      </c>
      <c r="D44" s="75"/>
      <c r="E44" s="75"/>
      <c r="F44" s="76">
        <f>F42+F43</f>
        <v>3456.5344</v>
      </c>
      <c r="G44" s="77"/>
      <c r="H44" s="77"/>
      <c r="I44" s="76">
        <f>I42+I43</f>
        <v>2915.58829725</v>
      </c>
      <c r="J44" s="68">
        <f t="shared" si="2"/>
        <v>-540.94610275</v>
      </c>
      <c r="K44" s="98"/>
    </row>
    <row r="45" s="41" customFormat="1" ht="43" customHeight="1" spans="1:11">
      <c r="A45" s="78" t="s">
        <v>438</v>
      </c>
      <c r="B45" s="79"/>
      <c r="C45" s="78"/>
      <c r="D45" s="79"/>
      <c r="E45" s="79"/>
      <c r="F45" s="80"/>
      <c r="G45" s="80"/>
      <c r="H45" s="80"/>
      <c r="I45" s="80"/>
      <c r="J45" s="80"/>
      <c r="K45" s="79"/>
    </row>
    <row r="46" s="40" customFormat="1" spans="2:11">
      <c r="B46" s="81"/>
      <c r="C46" s="82"/>
      <c r="D46" s="43"/>
      <c r="E46" s="43"/>
      <c r="F46" s="83"/>
      <c r="G46" s="83"/>
      <c r="H46" s="83"/>
      <c r="I46" s="83"/>
      <c r="J46" s="83"/>
      <c r="K46" s="43"/>
    </row>
  </sheetData>
  <mergeCells count="15">
    <mergeCell ref="A1:K1"/>
    <mergeCell ref="A2:K2"/>
    <mergeCell ref="D3:F3"/>
    <mergeCell ref="G3:I3"/>
    <mergeCell ref="A5:B5"/>
    <mergeCell ref="A13:B13"/>
    <mergeCell ref="A42:E42"/>
    <mergeCell ref="A43:E43"/>
    <mergeCell ref="A44:B44"/>
    <mergeCell ref="A45:K45"/>
    <mergeCell ref="A3:A4"/>
    <mergeCell ref="B3:B4"/>
    <mergeCell ref="C3:C4"/>
    <mergeCell ref="J3:J4"/>
    <mergeCell ref="K3:K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opLeftCell="A3" workbookViewId="0">
      <selection activeCell="H23" sqref="H23"/>
    </sheetView>
  </sheetViews>
  <sheetFormatPr defaultColWidth="9" defaultRowHeight="13.5"/>
  <cols>
    <col min="5" max="5" width="15.5" customWidth="1"/>
    <col min="10" max="10" width="19.875" customWidth="1"/>
    <col min="12" max="12" width="12.625"/>
  </cols>
  <sheetData>
    <row r="1" ht="21.75" spans="1:11">
      <c r="A1" s="10" t="s">
        <v>439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8.75" spans="1:11">
      <c r="A2" s="12" t="s">
        <v>440</v>
      </c>
      <c r="B2" s="12" t="s">
        <v>441</v>
      </c>
      <c r="C2" s="12" t="s">
        <v>442</v>
      </c>
      <c r="D2" s="12" t="s">
        <v>443</v>
      </c>
      <c r="E2" s="13"/>
      <c r="F2" s="14" t="s">
        <v>444</v>
      </c>
      <c r="G2" s="15"/>
      <c r="H2" s="15"/>
      <c r="I2" s="15"/>
      <c r="J2" s="32"/>
      <c r="K2" s="12" t="s">
        <v>445</v>
      </c>
    </row>
    <row r="3" ht="75" spans="1:11">
      <c r="A3" s="13"/>
      <c r="B3" s="13"/>
      <c r="C3" s="13"/>
      <c r="D3" s="12" t="s">
        <v>446</v>
      </c>
      <c r="E3" s="12" t="s">
        <v>447</v>
      </c>
      <c r="F3" s="16" t="s">
        <v>448</v>
      </c>
      <c r="G3" s="12" t="s">
        <v>449</v>
      </c>
      <c r="H3" s="12" t="s">
        <v>450</v>
      </c>
      <c r="I3" s="12" t="s">
        <v>451</v>
      </c>
      <c r="J3" s="12" t="s">
        <v>452</v>
      </c>
      <c r="K3" s="13"/>
    </row>
    <row r="4" ht="28.5" spans="1:11">
      <c r="A4" s="17" t="s">
        <v>453</v>
      </c>
      <c r="B4" s="17" t="s">
        <v>454</v>
      </c>
      <c r="C4" s="18">
        <v>3</v>
      </c>
      <c r="D4" s="18">
        <v>300</v>
      </c>
      <c r="E4" s="18">
        <f>C4*D4</f>
        <v>900</v>
      </c>
      <c r="F4" s="19">
        <f t="shared" ref="F4:F14" si="0">C4</f>
        <v>3</v>
      </c>
      <c r="G4" s="18">
        <v>5</v>
      </c>
      <c r="H4" s="20">
        <v>2450</v>
      </c>
      <c r="I4" s="17" t="s">
        <v>455</v>
      </c>
      <c r="J4" s="33">
        <f t="shared" ref="J4:J14" si="1">F4*G4*H4</f>
        <v>36750</v>
      </c>
      <c r="K4" s="22"/>
    </row>
    <row r="5" ht="28.5" spans="1:11">
      <c r="A5" s="17" t="s">
        <v>456</v>
      </c>
      <c r="B5" s="17" t="s">
        <v>457</v>
      </c>
      <c r="C5" s="18">
        <v>3</v>
      </c>
      <c r="D5" s="13"/>
      <c r="E5" s="13"/>
      <c r="F5" s="19">
        <f t="shared" si="0"/>
        <v>3</v>
      </c>
      <c r="G5" s="18">
        <v>5</v>
      </c>
      <c r="H5" s="20">
        <v>1320</v>
      </c>
      <c r="I5" s="17" t="s">
        <v>458</v>
      </c>
      <c r="J5" s="33">
        <f t="shared" si="1"/>
        <v>19800</v>
      </c>
      <c r="K5" s="22"/>
    </row>
    <row r="6" ht="42.75" spans="1:11">
      <c r="A6" s="17" t="s">
        <v>459</v>
      </c>
      <c r="B6" s="17" t="s">
        <v>460</v>
      </c>
      <c r="C6" s="18">
        <v>5</v>
      </c>
      <c r="D6" s="18">
        <v>50</v>
      </c>
      <c r="E6" s="18">
        <f>C6*D6</f>
        <v>250</v>
      </c>
      <c r="F6" s="19">
        <f t="shared" si="0"/>
        <v>5</v>
      </c>
      <c r="G6" s="19">
        <v>30</v>
      </c>
      <c r="H6" s="18">
        <v>74</v>
      </c>
      <c r="I6" s="17" t="s">
        <v>455</v>
      </c>
      <c r="J6" s="33">
        <f t="shared" si="1"/>
        <v>11100</v>
      </c>
      <c r="K6" s="22"/>
    </row>
    <row r="7" ht="42.75" spans="1:11">
      <c r="A7" s="17" t="s">
        <v>461</v>
      </c>
      <c r="B7" s="17" t="s">
        <v>462</v>
      </c>
      <c r="C7" s="18">
        <v>5</v>
      </c>
      <c r="D7" s="13"/>
      <c r="E7" s="13"/>
      <c r="F7" s="19">
        <f t="shared" si="0"/>
        <v>5</v>
      </c>
      <c r="G7" s="19">
        <v>30</v>
      </c>
      <c r="H7" s="18">
        <v>50</v>
      </c>
      <c r="I7" s="17" t="s">
        <v>455</v>
      </c>
      <c r="J7" s="33">
        <f t="shared" si="1"/>
        <v>7500</v>
      </c>
      <c r="K7" s="22"/>
    </row>
    <row r="8" ht="28.5" spans="1:11">
      <c r="A8" s="17" t="s">
        <v>463</v>
      </c>
      <c r="B8" s="17" t="s">
        <v>464</v>
      </c>
      <c r="C8" s="18">
        <v>10</v>
      </c>
      <c r="D8" s="18">
        <v>50</v>
      </c>
      <c r="E8" s="18">
        <f t="shared" ref="E8:E14" si="2">C8*D8</f>
        <v>500</v>
      </c>
      <c r="F8" s="19">
        <f t="shared" si="0"/>
        <v>10</v>
      </c>
      <c r="G8" s="19">
        <v>30</v>
      </c>
      <c r="H8" s="18">
        <v>50</v>
      </c>
      <c r="I8" s="17" t="s">
        <v>455</v>
      </c>
      <c r="J8" s="33">
        <f t="shared" si="1"/>
        <v>15000</v>
      </c>
      <c r="K8" s="22"/>
    </row>
    <row r="9" ht="28.5" spans="1:11">
      <c r="A9" s="17" t="s">
        <v>465</v>
      </c>
      <c r="B9" s="17" t="s">
        <v>466</v>
      </c>
      <c r="C9" s="18">
        <v>0</v>
      </c>
      <c r="D9" s="18">
        <v>50</v>
      </c>
      <c r="E9" s="18">
        <f t="shared" si="2"/>
        <v>0</v>
      </c>
      <c r="F9" s="19">
        <f t="shared" si="0"/>
        <v>0</v>
      </c>
      <c r="G9" s="19">
        <v>30</v>
      </c>
      <c r="H9" s="18">
        <v>50</v>
      </c>
      <c r="I9" s="17" t="s">
        <v>455</v>
      </c>
      <c r="J9" s="33">
        <f t="shared" si="1"/>
        <v>0</v>
      </c>
      <c r="K9" s="22"/>
    </row>
    <row r="10" ht="15" spans="1:11">
      <c r="A10" s="17" t="s">
        <v>467</v>
      </c>
      <c r="B10" s="17" t="s">
        <v>468</v>
      </c>
      <c r="C10" s="18">
        <v>5</v>
      </c>
      <c r="D10" s="18">
        <v>50</v>
      </c>
      <c r="E10" s="18">
        <f t="shared" si="2"/>
        <v>250</v>
      </c>
      <c r="F10" s="19">
        <f t="shared" si="0"/>
        <v>5</v>
      </c>
      <c r="G10" s="19">
        <v>30</v>
      </c>
      <c r="H10" s="18">
        <v>50</v>
      </c>
      <c r="I10" s="17" t="s">
        <v>455</v>
      </c>
      <c r="J10" s="33">
        <f t="shared" si="1"/>
        <v>7500</v>
      </c>
      <c r="K10" s="22"/>
    </row>
    <row r="11" ht="15" spans="1:11">
      <c r="A11" s="17" t="s">
        <v>469</v>
      </c>
      <c r="B11" s="17" t="s">
        <v>470</v>
      </c>
      <c r="C11" s="18">
        <v>5</v>
      </c>
      <c r="D11" s="18">
        <v>50</v>
      </c>
      <c r="E11" s="18">
        <f t="shared" si="2"/>
        <v>250</v>
      </c>
      <c r="F11" s="19">
        <f t="shared" si="0"/>
        <v>5</v>
      </c>
      <c r="G11" s="19">
        <v>30</v>
      </c>
      <c r="H11" s="18">
        <v>50</v>
      </c>
      <c r="I11" s="17" t="s">
        <v>455</v>
      </c>
      <c r="J11" s="33">
        <f t="shared" si="1"/>
        <v>7500</v>
      </c>
      <c r="K11" s="22"/>
    </row>
    <row r="12" ht="15" spans="1:11">
      <c r="A12" s="17" t="s">
        <v>471</v>
      </c>
      <c r="B12" s="17" t="s">
        <v>472</v>
      </c>
      <c r="C12" s="18">
        <v>3</v>
      </c>
      <c r="D12" s="20">
        <v>2000</v>
      </c>
      <c r="E12" s="18">
        <f t="shared" si="2"/>
        <v>6000</v>
      </c>
      <c r="F12" s="19">
        <f t="shared" si="0"/>
        <v>3</v>
      </c>
      <c r="G12" s="19">
        <v>30</v>
      </c>
      <c r="H12" s="18">
        <v>50</v>
      </c>
      <c r="I12" s="17" t="s">
        <v>455</v>
      </c>
      <c r="J12" s="33">
        <f t="shared" si="1"/>
        <v>4500</v>
      </c>
      <c r="K12" s="22"/>
    </row>
    <row r="13" ht="28.5" spans="1:11">
      <c r="A13" s="17" t="s">
        <v>473</v>
      </c>
      <c r="B13" s="17" t="s">
        <v>474</v>
      </c>
      <c r="C13" s="18">
        <v>3</v>
      </c>
      <c r="D13" s="20">
        <v>2000</v>
      </c>
      <c r="E13" s="18">
        <f t="shared" si="2"/>
        <v>6000</v>
      </c>
      <c r="F13" s="19">
        <f t="shared" si="0"/>
        <v>3</v>
      </c>
      <c r="G13" s="19">
        <v>30</v>
      </c>
      <c r="H13" s="18">
        <v>78</v>
      </c>
      <c r="I13" s="17" t="s">
        <v>455</v>
      </c>
      <c r="J13" s="33">
        <f t="shared" si="1"/>
        <v>7020</v>
      </c>
      <c r="K13" s="22"/>
    </row>
    <row r="14" ht="15" spans="1:11">
      <c r="A14" s="17" t="s">
        <v>475</v>
      </c>
      <c r="B14" s="17" t="s">
        <v>476</v>
      </c>
      <c r="C14" s="18">
        <v>3</v>
      </c>
      <c r="D14" s="20">
        <v>1500</v>
      </c>
      <c r="E14" s="18">
        <f t="shared" si="2"/>
        <v>4500</v>
      </c>
      <c r="F14" s="19">
        <f t="shared" si="0"/>
        <v>3</v>
      </c>
      <c r="G14" s="19">
        <v>30</v>
      </c>
      <c r="H14" s="18">
        <v>116</v>
      </c>
      <c r="I14" s="17" t="s">
        <v>455</v>
      </c>
      <c r="J14" s="33">
        <f t="shared" si="1"/>
        <v>10440</v>
      </c>
      <c r="K14" s="22"/>
    </row>
    <row r="15" ht="14.25" spans="1:11">
      <c r="A15" s="17" t="s">
        <v>477</v>
      </c>
      <c r="B15" s="21" t="s">
        <v>478</v>
      </c>
      <c r="C15" s="22"/>
      <c r="D15" s="22"/>
      <c r="E15" s="23">
        <f>SUM(E4:E14)</f>
        <v>18650</v>
      </c>
      <c r="F15" s="22"/>
      <c r="G15" s="22"/>
      <c r="H15" s="22"/>
      <c r="I15" s="22"/>
      <c r="J15" s="23">
        <f>SUM(J4:J14)</f>
        <v>127110</v>
      </c>
      <c r="K15" s="22"/>
    </row>
    <row r="16" ht="14.25" spans="1:11">
      <c r="A16" s="17" t="s">
        <v>479</v>
      </c>
      <c r="B16" s="21" t="s">
        <v>480</v>
      </c>
      <c r="C16" s="17" t="s">
        <v>481</v>
      </c>
      <c r="D16" s="13"/>
      <c r="E16" s="13"/>
      <c r="F16" s="24" t="s">
        <v>481</v>
      </c>
      <c r="G16" s="13"/>
      <c r="H16" s="13"/>
      <c r="I16" s="13"/>
      <c r="J16" s="23">
        <f>J15+E15</f>
        <v>145760</v>
      </c>
      <c r="K16" s="22"/>
    </row>
    <row r="17" ht="28.5" spans="1:11">
      <c r="A17" s="17" t="s">
        <v>482</v>
      </c>
      <c r="B17" s="17" t="s">
        <v>483</v>
      </c>
      <c r="C17" s="17" t="s">
        <v>484</v>
      </c>
      <c r="D17" s="13"/>
      <c r="E17" s="13"/>
      <c r="F17" s="24" t="s">
        <v>484</v>
      </c>
      <c r="G17" s="13"/>
      <c r="H17" s="13"/>
      <c r="I17" s="13"/>
      <c r="J17" s="23">
        <f>J16*0.22</f>
        <v>32067.2</v>
      </c>
      <c r="K17" s="22"/>
    </row>
    <row r="18" ht="14.25" spans="1:11">
      <c r="A18" s="17" t="s">
        <v>485</v>
      </c>
      <c r="B18" s="17" t="s">
        <v>486</v>
      </c>
      <c r="C18" s="17" t="s">
        <v>487</v>
      </c>
      <c r="D18" s="13"/>
      <c r="E18" s="13"/>
      <c r="F18" s="24" t="s">
        <v>487</v>
      </c>
      <c r="G18" s="13"/>
      <c r="H18" s="13"/>
      <c r="I18" s="13"/>
      <c r="J18" s="23">
        <f>(J16+J17)*0.06</f>
        <v>10669.632</v>
      </c>
      <c r="K18" s="22"/>
    </row>
    <row r="19" ht="14.25" spans="1:11">
      <c r="A19" s="17" t="s">
        <v>488</v>
      </c>
      <c r="B19" s="21" t="s">
        <v>489</v>
      </c>
      <c r="C19" s="17" t="s">
        <v>490</v>
      </c>
      <c r="D19" s="13"/>
      <c r="E19" s="13"/>
      <c r="F19" s="24" t="s">
        <v>490</v>
      </c>
      <c r="G19" s="13"/>
      <c r="H19" s="13"/>
      <c r="I19" s="13"/>
      <c r="J19" s="23">
        <f>J16+J17+J18</f>
        <v>188496.832</v>
      </c>
      <c r="K19" s="22"/>
    </row>
    <row r="20" ht="15.75" spans="1:11">
      <c r="A20" s="25" t="s">
        <v>491</v>
      </c>
      <c r="B20" s="26"/>
      <c r="C20" s="26"/>
      <c r="D20" s="26"/>
      <c r="E20" s="26"/>
      <c r="F20" s="26"/>
      <c r="G20" s="26"/>
      <c r="H20" s="26"/>
      <c r="I20" s="26"/>
      <c r="J20" s="34">
        <f>J19*0.5</f>
        <v>94248.416</v>
      </c>
      <c r="K20" s="35"/>
    </row>
    <row r="21" ht="15.75" spans="1:11">
      <c r="A21" s="27" t="s">
        <v>492</v>
      </c>
      <c r="B21" s="28"/>
      <c r="C21" s="28"/>
      <c r="D21" s="28"/>
      <c r="E21" s="28"/>
      <c r="F21" s="28"/>
      <c r="G21" s="28"/>
      <c r="H21" s="28"/>
      <c r="I21" s="28"/>
      <c r="J21" s="36">
        <f>J20*22</f>
        <v>2073465.152</v>
      </c>
      <c r="K21" s="37"/>
    </row>
    <row r="22" ht="14.25" spans="1:11">
      <c r="A22" s="29"/>
      <c r="B22" s="29"/>
      <c r="C22" s="29"/>
      <c r="D22" s="29"/>
      <c r="E22" s="30" t="s">
        <v>493</v>
      </c>
      <c r="F22" s="29"/>
      <c r="G22" s="29"/>
      <c r="H22" s="29"/>
      <c r="I22" s="29"/>
      <c r="J22" s="29"/>
      <c r="K22" s="29"/>
    </row>
    <row r="23" ht="15" spans="1:11">
      <c r="A23" s="29"/>
      <c r="B23" s="31" t="s">
        <v>494</v>
      </c>
      <c r="C23" s="29"/>
      <c r="D23" s="29"/>
      <c r="E23" s="29"/>
      <c r="F23" s="29"/>
      <c r="G23" s="29"/>
      <c r="H23" s="29"/>
      <c r="I23" s="29"/>
      <c r="J23" s="29"/>
      <c r="K23" s="29"/>
    </row>
    <row r="24" spans="9:10">
      <c r="I24" s="38"/>
      <c r="J24" s="39"/>
    </row>
  </sheetData>
  <mergeCells count="17">
    <mergeCell ref="A1:K1"/>
    <mergeCell ref="D2:E2"/>
    <mergeCell ref="F2:J2"/>
    <mergeCell ref="C16:I16"/>
    <mergeCell ref="C17:I17"/>
    <mergeCell ref="C18:I18"/>
    <mergeCell ref="C19:I19"/>
    <mergeCell ref="A20:I20"/>
    <mergeCell ref="A21:I21"/>
    <mergeCell ref="A2:A3"/>
    <mergeCell ref="B2:B3"/>
    <mergeCell ref="C2:C3"/>
    <mergeCell ref="D4:D5"/>
    <mergeCell ref="D6:D7"/>
    <mergeCell ref="E4:E5"/>
    <mergeCell ref="E6:E7"/>
    <mergeCell ref="K2:K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C24" sqref="C24"/>
    </sheetView>
  </sheetViews>
  <sheetFormatPr defaultColWidth="9" defaultRowHeight="13.5"/>
  <cols>
    <col min="1" max="1" width="39.75" customWidth="1"/>
    <col min="2" max="2" width="16" customWidth="1"/>
    <col min="3" max="3" width="16.125" customWidth="1"/>
    <col min="4" max="4" width="16.25" customWidth="1"/>
    <col min="5" max="5" width="17" customWidth="1"/>
    <col min="6" max="7" width="18.125" customWidth="1"/>
    <col min="8" max="9" width="17.375" customWidth="1"/>
    <col min="10" max="10" width="18.25" customWidth="1"/>
    <col min="11" max="11" width="16.25" customWidth="1"/>
  </cols>
  <sheetData>
    <row r="1" ht="31" customHeight="1" spans="1:11">
      <c r="A1" s="2" t="s">
        <v>170</v>
      </c>
      <c r="B1" s="2" t="s">
        <v>171</v>
      </c>
      <c r="C1" s="2" t="s">
        <v>172</v>
      </c>
      <c r="D1" s="2" t="s">
        <v>173</v>
      </c>
      <c r="E1" s="2" t="s">
        <v>174</v>
      </c>
      <c r="F1" s="2" t="s">
        <v>175</v>
      </c>
      <c r="G1" s="2" t="s">
        <v>176</v>
      </c>
      <c r="H1" s="2" t="s">
        <v>177</v>
      </c>
      <c r="I1" s="2" t="s">
        <v>178</v>
      </c>
      <c r="J1" s="2" t="s">
        <v>179</v>
      </c>
      <c r="K1" s="2" t="s">
        <v>180</v>
      </c>
    </row>
    <row r="2" ht="25" customHeight="1" spans="1:11">
      <c r="A2" s="8" t="s">
        <v>16</v>
      </c>
      <c r="B2" s="2"/>
      <c r="C2" s="2">
        <v>20</v>
      </c>
      <c r="D2" s="2">
        <v>30</v>
      </c>
      <c r="E2" s="2">
        <v>30</v>
      </c>
      <c r="F2" s="2">
        <v>30</v>
      </c>
      <c r="G2" s="2"/>
      <c r="H2" s="2"/>
      <c r="I2" s="2"/>
      <c r="J2" s="2"/>
      <c r="K2" s="2"/>
    </row>
    <row r="3" ht="25" customHeight="1" spans="1:11">
      <c r="A3" s="8" t="s">
        <v>17</v>
      </c>
      <c r="B3" s="2">
        <v>30</v>
      </c>
      <c r="C3" s="2">
        <v>50</v>
      </c>
      <c r="D3" s="2">
        <v>50</v>
      </c>
      <c r="E3" s="2">
        <v>200</v>
      </c>
      <c r="F3" s="2">
        <v>200</v>
      </c>
      <c r="G3" s="2"/>
      <c r="H3" s="2"/>
      <c r="I3" s="2">
        <v>300</v>
      </c>
      <c r="J3" s="2"/>
      <c r="K3" s="2">
        <v>300</v>
      </c>
    </row>
    <row r="4" ht="25" customHeight="1" spans="1:11">
      <c r="A4" s="8" t="s">
        <v>18</v>
      </c>
      <c r="B4" s="2"/>
      <c r="C4" s="2">
        <v>50</v>
      </c>
      <c r="D4" s="2">
        <v>50</v>
      </c>
      <c r="E4" s="2">
        <v>40</v>
      </c>
      <c r="F4" s="2">
        <v>40</v>
      </c>
      <c r="G4" s="2">
        <v>30</v>
      </c>
      <c r="H4" s="2"/>
      <c r="I4" s="2"/>
      <c r="J4" s="2"/>
      <c r="K4" s="2"/>
    </row>
    <row r="5" ht="25" customHeight="1" spans="1:11">
      <c r="A5" s="8" t="s">
        <v>19</v>
      </c>
      <c r="B5" s="2"/>
      <c r="C5" s="2">
        <v>100</v>
      </c>
      <c r="D5" s="2">
        <v>120</v>
      </c>
      <c r="E5" s="2">
        <v>60</v>
      </c>
      <c r="F5" s="2">
        <v>80</v>
      </c>
      <c r="G5" s="2">
        <v>20</v>
      </c>
      <c r="H5" s="2"/>
      <c r="I5" s="2"/>
      <c r="J5" s="2"/>
      <c r="K5" s="2"/>
    </row>
    <row r="6" ht="25" customHeight="1" spans="1:11">
      <c r="A6" s="8" t="s">
        <v>20</v>
      </c>
      <c r="B6" s="2"/>
      <c r="C6" s="2">
        <v>120</v>
      </c>
      <c r="D6" s="2">
        <v>50</v>
      </c>
      <c r="E6" s="2">
        <v>50</v>
      </c>
      <c r="F6" s="2">
        <v>30</v>
      </c>
      <c r="G6" s="2">
        <v>20</v>
      </c>
      <c r="H6" s="2"/>
      <c r="I6" s="2"/>
      <c r="J6" s="2"/>
      <c r="K6" s="2"/>
    </row>
    <row r="7" ht="25" customHeight="1" spans="1:11">
      <c r="A7" s="8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ht="25" customHeight="1" spans="1:11">
      <c r="A8" s="8" t="s">
        <v>27</v>
      </c>
      <c r="B8" s="2">
        <v>300</v>
      </c>
      <c r="C8" s="2"/>
      <c r="D8" s="2">
        <v>400</v>
      </c>
      <c r="E8" s="2">
        <v>350</v>
      </c>
      <c r="F8" s="2">
        <v>350</v>
      </c>
      <c r="G8" s="2"/>
      <c r="H8" s="2">
        <v>16450</v>
      </c>
      <c r="I8" s="2"/>
      <c r="J8" s="2">
        <v>16450</v>
      </c>
      <c r="K8" s="2">
        <v>16450</v>
      </c>
    </row>
    <row r="9" ht="25" customHeight="1" spans="1:11">
      <c r="A9" s="8" t="s">
        <v>29</v>
      </c>
      <c r="B9" s="2">
        <v>300</v>
      </c>
      <c r="C9" s="2"/>
      <c r="D9" s="2">
        <v>600</v>
      </c>
      <c r="E9" s="2">
        <v>450</v>
      </c>
      <c r="F9" s="2">
        <v>450</v>
      </c>
      <c r="G9" s="2"/>
      <c r="H9" s="2"/>
      <c r="I9" s="2"/>
      <c r="J9" s="2">
        <v>742</v>
      </c>
      <c r="K9" s="2"/>
    </row>
    <row r="10" ht="25" customHeight="1" spans="1:11">
      <c r="A10" s="8" t="s">
        <v>181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ht="25" customHeight="1" spans="1:11">
      <c r="A11" s="8" t="s">
        <v>182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ht="25" customHeight="1" spans="1:11">
      <c r="A12" s="8" t="s">
        <v>183</v>
      </c>
      <c r="B12" s="2"/>
      <c r="C12" s="2"/>
      <c r="D12" s="2"/>
      <c r="E12" s="2"/>
      <c r="F12" s="2"/>
      <c r="G12" s="2"/>
      <c r="H12" s="2">
        <v>6930</v>
      </c>
      <c r="I12" s="2"/>
      <c r="J12" s="2">
        <v>4950</v>
      </c>
      <c r="K12" s="2"/>
    </row>
    <row r="13" s="7" customFormat="1" ht="27" customHeight="1" spans="1:11">
      <c r="A13" s="9" t="s">
        <v>184</v>
      </c>
      <c r="B13" s="9">
        <f>SUM(B2:B12)</f>
        <v>630</v>
      </c>
      <c r="C13" s="9">
        <f t="shared" ref="C13:K13" si="0">SUM(C2:C12)</f>
        <v>340</v>
      </c>
      <c r="D13" s="9">
        <f t="shared" si="0"/>
        <v>1300</v>
      </c>
      <c r="E13" s="9">
        <f t="shared" si="0"/>
        <v>1180</v>
      </c>
      <c r="F13" s="9">
        <f t="shared" si="0"/>
        <v>1180</v>
      </c>
      <c r="G13" s="9">
        <f t="shared" si="0"/>
        <v>70</v>
      </c>
      <c r="H13" s="9">
        <f t="shared" si="0"/>
        <v>23380</v>
      </c>
      <c r="I13" s="9">
        <f t="shared" si="0"/>
        <v>300</v>
      </c>
      <c r="J13" s="9">
        <f t="shared" si="0"/>
        <v>22142</v>
      </c>
      <c r="K13" s="9">
        <f t="shared" si="0"/>
        <v>16750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F13" sqref="F13"/>
    </sheetView>
  </sheetViews>
  <sheetFormatPr defaultColWidth="9" defaultRowHeight="13.5"/>
  <cols>
    <col min="2" max="2" width="19.6333333333333" customWidth="1"/>
    <col min="3" max="3" width="15.6333333333333" customWidth="1"/>
    <col min="4" max="4" width="21" customWidth="1"/>
    <col min="5" max="5" width="14.1333333333333" customWidth="1"/>
    <col min="6" max="6" width="17.6333333333333" customWidth="1"/>
    <col min="7" max="7" width="13.5" customWidth="1"/>
    <col min="8" max="8" width="19.3833333333333" customWidth="1"/>
    <col min="9" max="9" width="7.63333333333333" customWidth="1"/>
    <col min="10" max="11" width="12.6333333333333" style="1" customWidth="1"/>
    <col min="12" max="12" width="13.75" style="1" customWidth="1"/>
  </cols>
  <sheetData>
    <row r="1" ht="25" customHeight="1" spans="1:12">
      <c r="A1" s="2" t="s">
        <v>1</v>
      </c>
      <c r="B1" s="2" t="s">
        <v>372</v>
      </c>
      <c r="C1" s="2" t="s">
        <v>495</v>
      </c>
      <c r="D1" s="2" t="s">
        <v>496</v>
      </c>
      <c r="E1" s="2" t="s">
        <v>497</v>
      </c>
      <c r="F1" s="2" t="s">
        <v>498</v>
      </c>
      <c r="G1" s="2" t="s">
        <v>499</v>
      </c>
      <c r="H1" s="2" t="s">
        <v>500</v>
      </c>
      <c r="L1" s="1" t="s">
        <v>501</v>
      </c>
    </row>
    <row r="2" ht="25" customHeight="1" spans="1:12">
      <c r="A2" s="2">
        <v>1</v>
      </c>
      <c r="B2" s="2" t="s">
        <v>502</v>
      </c>
      <c r="C2" s="3" t="e">
        <f>#REF!</f>
        <v>#REF!</v>
      </c>
      <c r="D2" s="3" t="e">
        <f>#REF!</f>
        <v>#REF!</v>
      </c>
      <c r="E2" s="3" t="e">
        <f>#REF!</f>
        <v>#REF!</v>
      </c>
      <c r="F2" s="3" t="e">
        <f>#REF!</f>
        <v>#REF!</v>
      </c>
      <c r="G2" s="3" t="e">
        <f>#REF!</f>
        <v>#REF!</v>
      </c>
      <c r="H2" s="3" t="e">
        <f>#REF!</f>
        <v>#REF!</v>
      </c>
      <c r="I2" s="4"/>
      <c r="J2" s="5" t="e">
        <f t="shared" ref="J2:J15" si="0">C2/H2</f>
        <v>#REF!</v>
      </c>
      <c r="K2" s="1">
        <v>37418.2113123064</v>
      </c>
      <c r="L2" s="1" t="e">
        <f t="shared" ref="L2:L14" si="1">H2-K2</f>
        <v>#REF!</v>
      </c>
    </row>
    <row r="3" ht="25" customHeight="1" spans="1:12">
      <c r="A3" s="2">
        <v>2</v>
      </c>
      <c r="B3" s="2" t="s">
        <v>503</v>
      </c>
      <c r="C3" s="3" t="e">
        <f>#REF!</f>
        <v>#REF!</v>
      </c>
      <c r="D3" s="3" t="e">
        <f>#REF!</f>
        <v>#REF!</v>
      </c>
      <c r="E3" s="3" t="e">
        <f>#REF!</f>
        <v>#REF!</v>
      </c>
      <c r="F3" s="3" t="e">
        <f>#REF!</f>
        <v>#REF!</v>
      </c>
      <c r="G3" s="3"/>
      <c r="H3" s="3" t="e">
        <f>#REF!</f>
        <v>#REF!</v>
      </c>
      <c r="J3" s="5" t="e">
        <f t="shared" si="0"/>
        <v>#REF!</v>
      </c>
      <c r="K3" s="1">
        <v>5457.61550875006</v>
      </c>
      <c r="L3" s="6" t="e">
        <f t="shared" si="1"/>
        <v>#REF!</v>
      </c>
    </row>
    <row r="4" ht="25" customHeight="1" spans="1:12">
      <c r="A4" s="2">
        <v>3</v>
      </c>
      <c r="B4" s="2" t="s">
        <v>504</v>
      </c>
      <c r="C4" s="3" t="e">
        <f>#REF!</f>
        <v>#REF!</v>
      </c>
      <c r="D4" s="3" t="e">
        <f>#REF!</f>
        <v>#REF!</v>
      </c>
      <c r="E4" s="3" t="e">
        <f>#REF!</f>
        <v>#REF!</v>
      </c>
      <c r="F4" s="3" t="e">
        <f>#REF!</f>
        <v>#REF!</v>
      </c>
      <c r="G4" s="3"/>
      <c r="H4" s="3" t="e">
        <f>#REF!</f>
        <v>#REF!</v>
      </c>
      <c r="J4" s="5" t="e">
        <f t="shared" si="0"/>
        <v>#REF!</v>
      </c>
      <c r="K4" s="1">
        <v>3138.996</v>
      </c>
      <c r="L4" s="6" t="e">
        <f t="shared" si="1"/>
        <v>#REF!</v>
      </c>
    </row>
    <row r="5" ht="25" customHeight="1" spans="1:12">
      <c r="A5" s="2">
        <v>4</v>
      </c>
      <c r="B5" s="2" t="s">
        <v>505</v>
      </c>
      <c r="C5" s="3" t="e">
        <f>#REF!</f>
        <v>#REF!</v>
      </c>
      <c r="D5" s="3" t="e">
        <f>#REF!</f>
        <v>#REF!</v>
      </c>
      <c r="E5" s="3" t="e">
        <f>#REF!</f>
        <v>#REF!</v>
      </c>
      <c r="F5" s="3" t="e">
        <f>#REF!</f>
        <v>#REF!</v>
      </c>
      <c r="G5" s="3"/>
      <c r="H5" s="3" t="e">
        <f>#REF!</f>
        <v>#REF!</v>
      </c>
      <c r="J5" s="5" t="e">
        <f t="shared" si="0"/>
        <v>#REF!</v>
      </c>
      <c r="K5" s="1">
        <v>7452.4690008</v>
      </c>
      <c r="L5" s="1" t="e">
        <f t="shared" si="1"/>
        <v>#REF!</v>
      </c>
    </row>
    <row r="6" ht="25" customHeight="1" spans="1:12">
      <c r="A6" s="2">
        <v>5</v>
      </c>
      <c r="B6" s="2" t="s">
        <v>506</v>
      </c>
      <c r="C6" s="3" t="e">
        <f>#REF!</f>
        <v>#REF!</v>
      </c>
      <c r="D6" s="3" t="e">
        <f>#REF!</f>
        <v>#REF!</v>
      </c>
      <c r="E6" s="3" t="e">
        <f>#REF!</f>
        <v>#REF!</v>
      </c>
      <c r="F6" s="3" t="e">
        <f>#REF!</f>
        <v>#REF!</v>
      </c>
      <c r="G6" s="3"/>
      <c r="H6" s="3" t="e">
        <f>#REF!</f>
        <v>#REF!</v>
      </c>
      <c r="J6" s="5" t="e">
        <f t="shared" si="0"/>
        <v>#REF!</v>
      </c>
      <c r="K6" s="1">
        <v>12826.9490302013</v>
      </c>
      <c r="L6" s="1" t="e">
        <f t="shared" si="1"/>
        <v>#REF!</v>
      </c>
    </row>
    <row r="7" ht="25" customHeight="1" spans="1:12">
      <c r="A7" s="2">
        <v>6</v>
      </c>
      <c r="B7" s="2" t="s">
        <v>507</v>
      </c>
      <c r="C7" s="3" t="e">
        <f>#REF!</f>
        <v>#REF!</v>
      </c>
      <c r="D7" s="3" t="e">
        <f>#REF!</f>
        <v>#REF!</v>
      </c>
      <c r="E7" s="3" t="e">
        <f>#REF!</f>
        <v>#REF!</v>
      </c>
      <c r="F7" s="3" t="e">
        <f>#REF!</f>
        <v>#REF!</v>
      </c>
      <c r="G7" s="3"/>
      <c r="H7" s="3" t="e">
        <f>#REF!</f>
        <v>#REF!</v>
      </c>
      <c r="J7" s="5" t="e">
        <f t="shared" si="0"/>
        <v>#REF!</v>
      </c>
      <c r="K7" s="1">
        <v>1167.71625</v>
      </c>
      <c r="L7" s="6" t="e">
        <f t="shared" si="1"/>
        <v>#REF!</v>
      </c>
    </row>
    <row r="8" ht="25" customHeight="1" spans="1:12">
      <c r="A8" s="2">
        <v>7</v>
      </c>
      <c r="B8" s="2" t="s">
        <v>508</v>
      </c>
      <c r="C8" s="3" t="e">
        <f>#REF!</f>
        <v>#REF!</v>
      </c>
      <c r="D8" s="3" t="e">
        <f>#REF!</f>
        <v>#REF!</v>
      </c>
      <c r="E8" s="3" t="e">
        <f>#REF!</f>
        <v>#REF!</v>
      </c>
      <c r="F8" s="3" t="e">
        <f>#REF!</f>
        <v>#REF!</v>
      </c>
      <c r="G8" s="3"/>
      <c r="H8" s="3" t="e">
        <f>#REF!</f>
        <v>#REF!</v>
      </c>
      <c r="J8" s="5" t="e">
        <f t="shared" si="0"/>
        <v>#REF!</v>
      </c>
      <c r="K8" s="1">
        <v>901.4625</v>
      </c>
      <c r="L8" s="1" t="e">
        <f t="shared" si="1"/>
        <v>#REF!</v>
      </c>
    </row>
    <row r="9" ht="25" customHeight="1" spans="1:12">
      <c r="A9" s="2">
        <v>8</v>
      </c>
      <c r="B9" s="2" t="s">
        <v>509</v>
      </c>
      <c r="C9" s="3" t="e">
        <f>#REF!</f>
        <v>#REF!</v>
      </c>
      <c r="D9" s="3" t="e">
        <f>#REF!</f>
        <v>#REF!</v>
      </c>
      <c r="E9" s="3" t="e">
        <f>#REF!</f>
        <v>#REF!</v>
      </c>
      <c r="F9" s="3" t="e">
        <f>#REF!</f>
        <v>#REF!</v>
      </c>
      <c r="G9" s="3"/>
      <c r="H9" s="3" t="e">
        <f>#REF!</f>
        <v>#REF!</v>
      </c>
      <c r="J9" s="5" t="e">
        <f t="shared" si="0"/>
        <v>#REF!</v>
      </c>
      <c r="K9" s="1">
        <v>1376.99325</v>
      </c>
      <c r="L9" s="1" t="e">
        <f t="shared" si="1"/>
        <v>#REF!</v>
      </c>
    </row>
    <row r="10" ht="25" customHeight="1" spans="1:12">
      <c r="A10" s="2">
        <v>9</v>
      </c>
      <c r="B10" s="2" t="s">
        <v>510</v>
      </c>
      <c r="C10" s="3" t="e">
        <f>#REF!</f>
        <v>#REF!</v>
      </c>
      <c r="D10" s="3" t="e">
        <f>#REF!</f>
        <v>#REF!</v>
      </c>
      <c r="E10" s="3" t="e">
        <f>#REF!</f>
        <v>#REF!</v>
      </c>
      <c r="F10" s="3" t="e">
        <f>#REF!</f>
        <v>#REF!</v>
      </c>
      <c r="G10" s="3"/>
      <c r="H10" s="3" t="e">
        <f>#REF!</f>
        <v>#REF!</v>
      </c>
      <c r="J10" s="5" t="e">
        <f t="shared" si="0"/>
        <v>#REF!</v>
      </c>
      <c r="K10" s="1">
        <v>1028.83041</v>
      </c>
      <c r="L10" s="1" t="e">
        <f t="shared" si="1"/>
        <v>#REF!</v>
      </c>
    </row>
    <row r="11" ht="25" customHeight="1" spans="1:12">
      <c r="A11" s="2">
        <v>10</v>
      </c>
      <c r="B11" s="2" t="s">
        <v>511</v>
      </c>
      <c r="C11" s="3" t="e">
        <f>#REF!</f>
        <v>#REF!</v>
      </c>
      <c r="D11" s="3" t="e">
        <f>#REF!</f>
        <v>#REF!</v>
      </c>
      <c r="E11" s="3" t="e">
        <f>#REF!</f>
        <v>#REF!</v>
      </c>
      <c r="F11" s="3" t="e">
        <f>#REF!</f>
        <v>#REF!</v>
      </c>
      <c r="G11" s="3"/>
      <c r="H11" s="3" t="e">
        <f>#REF!</f>
        <v>#REF!</v>
      </c>
      <c r="J11" s="5" t="e">
        <f t="shared" si="0"/>
        <v>#REF!</v>
      </c>
      <c r="K11" s="1">
        <v>7661.601</v>
      </c>
      <c r="L11" s="1" t="e">
        <f t="shared" si="1"/>
        <v>#REF!</v>
      </c>
    </row>
    <row r="12" ht="25" customHeight="1" spans="1:12">
      <c r="A12" s="2">
        <v>11</v>
      </c>
      <c r="B12" s="2" t="s">
        <v>512</v>
      </c>
      <c r="C12" s="3" t="e">
        <f>#REF!</f>
        <v>#REF!</v>
      </c>
      <c r="D12" s="3" t="e">
        <f>#REF!</f>
        <v>#REF!</v>
      </c>
      <c r="E12" s="3" t="e">
        <f>#REF!</f>
        <v>#REF!</v>
      </c>
      <c r="F12" s="3" t="e">
        <f>#REF!</f>
        <v>#REF!</v>
      </c>
      <c r="G12" s="3"/>
      <c r="H12" s="3" t="e">
        <f>#REF!</f>
        <v>#REF!</v>
      </c>
      <c r="J12" s="5" t="e">
        <f t="shared" si="0"/>
        <v>#REF!</v>
      </c>
      <c r="K12" s="1">
        <v>6807.09211909438</v>
      </c>
      <c r="L12" s="1" t="e">
        <f t="shared" si="1"/>
        <v>#REF!</v>
      </c>
    </row>
    <row r="13" ht="25" customHeight="1" spans="1:12">
      <c r="A13" s="2">
        <v>12</v>
      </c>
      <c r="B13" s="2" t="s">
        <v>513</v>
      </c>
      <c r="C13" s="3" t="e">
        <f>#REF!</f>
        <v>#REF!</v>
      </c>
      <c r="D13" s="3" t="e">
        <f>#REF!</f>
        <v>#REF!</v>
      </c>
      <c r="E13" s="3" t="e">
        <f>#REF!</f>
        <v>#REF!</v>
      </c>
      <c r="F13" s="3" t="e">
        <f>#REF!</f>
        <v>#REF!</v>
      </c>
      <c r="G13" s="3"/>
      <c r="H13" s="3" t="e">
        <f>#REF!</f>
        <v>#REF!</v>
      </c>
      <c r="J13" s="5" t="e">
        <f t="shared" si="0"/>
        <v>#REF!</v>
      </c>
      <c r="K13" s="1">
        <v>1473.342</v>
      </c>
      <c r="L13" s="1" t="e">
        <f t="shared" si="1"/>
        <v>#REF!</v>
      </c>
    </row>
    <row r="14" ht="25" customHeight="1" spans="1:12">
      <c r="A14" s="2">
        <v>13</v>
      </c>
      <c r="B14" s="2" t="s">
        <v>514</v>
      </c>
      <c r="C14" s="3" t="e">
        <f>#REF!</f>
        <v>#REF!</v>
      </c>
      <c r="D14" s="3" t="e">
        <f>#REF!</f>
        <v>#REF!</v>
      </c>
      <c r="E14" s="3" t="e">
        <f>#REF!</f>
        <v>#REF!</v>
      </c>
      <c r="F14" s="3" t="e">
        <f>#REF!</f>
        <v>#REF!</v>
      </c>
      <c r="G14" s="3"/>
      <c r="H14" s="3" t="e">
        <f>#REF!</f>
        <v>#REF!</v>
      </c>
      <c r="J14" s="5" t="e">
        <f t="shared" si="0"/>
        <v>#REF!</v>
      </c>
      <c r="K14" s="1">
        <v>3887.68276</v>
      </c>
      <c r="L14" s="1" t="e">
        <f t="shared" si="1"/>
        <v>#REF!</v>
      </c>
    </row>
    <row r="15" ht="25" customHeight="1" spans="1:10">
      <c r="A15" s="2"/>
      <c r="B15" s="2" t="s">
        <v>184</v>
      </c>
      <c r="C15" s="3" t="e">
        <f t="shared" ref="C15:H15" si="2">SUM(C2:C14)</f>
        <v>#REF!</v>
      </c>
      <c r="D15" s="3" t="e">
        <f t="shared" si="2"/>
        <v>#REF!</v>
      </c>
      <c r="E15" s="3" t="e">
        <f t="shared" si="2"/>
        <v>#REF!</v>
      </c>
      <c r="F15" s="3" t="e">
        <f t="shared" si="2"/>
        <v>#REF!</v>
      </c>
      <c r="G15" s="3" t="e">
        <f t="shared" si="2"/>
        <v>#REF!</v>
      </c>
      <c r="H15" s="3" t="e">
        <f t="shared" si="2"/>
        <v>#REF!</v>
      </c>
      <c r="J15" s="5" t="e">
        <f t="shared" si="0"/>
        <v>#REF!</v>
      </c>
    </row>
  </sheetData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投资概算表</vt:lpstr>
      <vt:lpstr>用地统计</vt:lpstr>
      <vt:lpstr>审定概算</vt:lpstr>
      <vt:lpstr>对比表</vt:lpstr>
      <vt:lpstr>下穿铁路估算对比表</vt:lpstr>
      <vt:lpstr>基坑监测</vt:lpstr>
      <vt:lpstr>管线迁改保护</vt:lpstr>
      <vt:lpstr>总投资表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蒙凯</cp:lastModifiedBy>
  <dcterms:created xsi:type="dcterms:W3CDTF">2023-09-21T17:01:00Z</dcterms:created>
  <dcterms:modified xsi:type="dcterms:W3CDTF">2025-06-13T07:37:17Z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34FAFF4692C043B3B2395F0973E45C94_13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