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716" firstSheet="3" activeTab="3"/>
  </bookViews>
  <sheets>
    <sheet name="zb-推荐方案" sheetId="37" state="hidden" r:id="rId1"/>
    <sheet name="zb-推荐方案0108" sheetId="46" state="hidden" r:id="rId2"/>
    <sheet name="审定概算" sheetId="47" state="hidden" r:id="rId3"/>
    <sheet name="对比表" sheetId="48" r:id="rId4"/>
    <sheet name="zb-推荐方案 1205" sheetId="45" state="hidden" r:id="rId5"/>
    <sheet name="zb-推荐方案 1118" sheetId="44" state="hidden" r:id="rId6"/>
    <sheet name="zb-推荐方案 1105" sheetId="43" state="hidden" r:id="rId7"/>
    <sheet name="zb-推荐方案 (2)" sheetId="42" state="hidden" r:id="rId8"/>
    <sheet name="单价表" sheetId="41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0" hidden="1">'zb-推荐方案'!$C$3:$C$120</definedName>
    <definedName name="_xlnm._FilterDatabase" localSheetId="1" hidden="1">'zb-推荐方案0108'!$C$3:$C$65</definedName>
    <definedName name="_xlnm._FilterDatabase" localSheetId="4" hidden="1">'zb-推荐方案 1205'!$C$3:$C$66</definedName>
    <definedName name="_xlnm._FilterDatabase" localSheetId="5" hidden="1">'zb-推荐方案 1118'!$C$3:$C$66</definedName>
    <definedName name="_xlnm._FilterDatabase" localSheetId="6" hidden="1">'zb-推荐方案 1105'!$C$3:$C$66</definedName>
    <definedName name="_xlnm._FilterDatabase" localSheetId="7" hidden="1">'zb-推荐方案 (2)'!$C$3:$C$66</definedName>
    <definedName name="_____flh1">#REF!</definedName>
    <definedName name="_____slb1">#REF!</definedName>
    <definedName name="_____xx3">_____xx3</definedName>
    <definedName name="____xx3">____xx3</definedName>
    <definedName name="___JM4">'[1]C'!$E$129:$E$142</definedName>
    <definedName name="___JM5">'[1]C'!$E$143:$E$156</definedName>
    <definedName name="___JM6">'[1]C'!$E$157:$E$170</definedName>
    <definedName name="___JM7">'[1]C'!$E$171:$E$184</definedName>
    <definedName name="___TNC1">'[1]C'!$F$129:$R$142</definedName>
    <definedName name="___TNC2">'[1]C'!$F$157:$R$170</definedName>
    <definedName name="___TNS1">'[1]C'!$F$143:$R$156</definedName>
    <definedName name="___TNS2">'[1]C'!$F$171:$R$184</definedName>
    <definedName name="___XH1">'[1]C'!$F$20:$R$20</definedName>
    <definedName name="___XH2">'[1]C'!$F$128:$R$128</definedName>
    <definedName name="__flh1">#REF!</definedName>
    <definedName name="__JM4">'[1]C'!$E$129:$E$142</definedName>
    <definedName name="__JM5">'[1]C'!$E$143:$E$156</definedName>
    <definedName name="__JM6">'[1]C'!$E$157:$E$170</definedName>
    <definedName name="__JM7">'[1]C'!$E$171:$E$184</definedName>
    <definedName name="__slb1">#REF!</definedName>
    <definedName name="__TNC1">'[1]C'!$F$129:$R$142</definedName>
    <definedName name="__TNC2">'[1]C'!$F$157:$R$170</definedName>
    <definedName name="__TNS1">'[1]C'!$F$143:$R$156</definedName>
    <definedName name="__TNS2">'[1]C'!$F$171:$R$184</definedName>
    <definedName name="__XH1">'[1]C'!$F$20:$R$20</definedName>
    <definedName name="__XH2">'[1]C'!$F$128:$R$128</definedName>
    <definedName name="__xx3">#N/A</definedName>
    <definedName name="_1q2_">#N/A</definedName>
    <definedName name="_3t单筒卷扬机">[2]机械!#REF!</definedName>
    <definedName name="_5">#REF!</definedName>
    <definedName name="_6">#REF!</definedName>
    <definedName name="_flh1">#REF!</definedName>
    <definedName name="_JM4">'[3]C'!$E$129:$E$142</definedName>
    <definedName name="_JM5">'[3]C'!$E$143:$E$156</definedName>
    <definedName name="_JM6">'[3]C'!$E$157:$E$170</definedName>
    <definedName name="_JM7">'[3]C'!$E$171:$E$184</definedName>
    <definedName name="_m3">#REF!</definedName>
    <definedName name="_q2">#N/A</definedName>
    <definedName name="_slb1">#REF!</definedName>
    <definedName name="_TNC1">'[3]C'!$F$129:$R$142</definedName>
    <definedName name="_TNC2">'[3]C'!$F$157:$R$170</definedName>
    <definedName name="_TNS1">'[3]C'!$F$143:$R$156</definedName>
    <definedName name="_TNS2">'[3]C'!$F$171:$R$184</definedName>
    <definedName name="_XH1">'[3]C'!$F$20:$R$20</definedName>
    <definedName name="_XH2">'[3]C'!$F$128:$R$128</definedName>
    <definedName name="_xx3">#N/A</definedName>
    <definedName name="a">[4]!a</definedName>
    <definedName name="aa">[4]!aa</definedName>
    <definedName name="as">[4]!as</definedName>
    <definedName name="asd">#N/A</definedName>
    <definedName name="B">[4]!B</definedName>
    <definedName name="bb">#N/A</definedName>
    <definedName name="bbbbbb">#N/A</definedName>
    <definedName name="Beginning_Balance">#N/A</definedName>
    <definedName name="cc">[4]!cc</definedName>
    <definedName name="ccc">[4]!ccc</definedName>
    <definedName name="cccc">[4]!cccc</definedName>
    <definedName name="ccccc">[4]!ccccc</definedName>
    <definedName name="ccccccc">[4]!ccccccc</definedName>
    <definedName name="dd">#N/A</definedName>
    <definedName name="ddd">#N/A</definedName>
    <definedName name="Ending_Balance">#N/A</definedName>
    <definedName name="Full_Print">#REF!</definedName>
    <definedName name="gh">[4]!gh</definedName>
    <definedName name="ghh">[4]!ghh</definedName>
    <definedName name="Header_Row">ROW(#REF!)</definedName>
    <definedName name="Header_Row_Back">ROW(#REF!)</definedName>
    <definedName name="hh">[4]!hh</definedName>
    <definedName name="hj">[4]!hj</definedName>
    <definedName name="Interest">#N/A</definedName>
    <definedName name="Interest_Rate">#REF!</definedName>
    <definedName name="io">[4]!io</definedName>
    <definedName name="jk">[4]!jk</definedName>
    <definedName name="jkl">[4]!jkl</definedName>
    <definedName name="Last_Row">#N/A</definedName>
    <definedName name="liu">[4]!liu</definedName>
    <definedName name="Loan_Amount">#REF!</definedName>
    <definedName name="Loan_Not_Paid">#N/A</definedName>
    <definedName name="Loan_Start">#REF!</definedName>
    <definedName name="Loan_Years">#REF!</definedName>
    <definedName name="lui">[4]!lui</definedName>
    <definedName name="m">#REF!</definedName>
    <definedName name="Monthly_Payment">#N/A</definedName>
    <definedName name="Number_of_Payments">#REF!</definedName>
    <definedName name="Payment_Date">#N/A</definedName>
    <definedName name="Payment_Number">ROW()-Header_Row</definedName>
    <definedName name="pi">[5]sheet1!$G$1</definedName>
    <definedName name="poio">[4]!poio</definedName>
    <definedName name="pp">[6]sheet1!$G$1</definedName>
    <definedName name="Principal">-PPMT(Interest_Rate/12,Payment_Number,Number_of_Payments,Loan_Amount)</definedName>
    <definedName name="_xlnm.Print_Area" localSheetId="0">'zb-推荐方案'!$B$1:$L$66</definedName>
    <definedName name="_xlnm.Print_Titles" localSheetId="0">'zb-推荐方案'!$1:$4</definedName>
    <definedName name="q">[4]!q</definedName>
    <definedName name="Recorder">[7]sis.xlm!$E$15:$E$16384</definedName>
    <definedName name="REGRESS_DATA">[7]REGRESS!$O$5:$P$9</definedName>
    <definedName name="s">[4]!s</definedName>
    <definedName name="Total_Cost">#REF!</definedName>
    <definedName name="Total_Interest">#REF!</definedName>
    <definedName name="Values_Entered">IF(Loan_Amount*Interest_Rate*Loan_Years*Loan_Start&gt;0,1,0)</definedName>
    <definedName name="x">[4]!x</definedName>
    <definedName name="XLRPARAMS_GCMC" hidden="1">[8]XLR_NoRangeSheet!$B$6</definedName>
    <definedName name="XLRPARAMS_ZYMC" hidden="1">[8]XLR_NoRangeSheet!$C$6</definedName>
    <definedName name="xx">[4]!xx</definedName>
    <definedName name="yuo">[4]!yuo</definedName>
    <definedName name="yuo1">#N/A</definedName>
    <definedName name="z">[4]!z</definedName>
    <definedName name="zb">#N/A</definedName>
    <definedName name="zq">[9]总表!$D$44</definedName>
    <definedName name="zx">[4]!zx</definedName>
    <definedName name="zz">[4]!zz</definedName>
    <definedName name="拌和机0.4立方米">[2]机械!#REF!</definedName>
    <definedName name="插入式震捣器2.2kw">[2]机械!#REF!</definedName>
    <definedName name="池">[4]!池</definedName>
    <definedName name="池池">[4]!池池</definedName>
    <definedName name="池池池">[4]!池池池</definedName>
    <definedName name="单斗挖掘机0.6立方米">[2]机械!#REF!</definedName>
    <definedName name="单级离心水泵1.1_7kw">[2]机械!#REF!</definedName>
    <definedName name="导杆式柴油打桩机1.8t">[2]机械!#REF!</definedName>
    <definedName name="的">[10]sis.xlm!$E$15:$E$16384</definedName>
    <definedName name="电焊交流机25_50">[2]机械!#REF!</definedName>
    <definedName name="电缆">#REF!</definedName>
    <definedName name="定">[11]sis.xlm!$H$1</definedName>
    <definedName name="斗车0.6立方米">[2]机械!#REF!</definedName>
    <definedName name="对焊机150">[2]机械!#REF!</definedName>
    <definedName name="二">[4]!二</definedName>
    <definedName name="二泵设备底稿">[4]!二泵设备底稿</definedName>
    <definedName name="二号泵站机械设备">#REF!</definedName>
    <definedName name="风水枪">[2]机械!#REF!</definedName>
    <definedName name="钢筋调直机">[2]机械!#REF!</definedName>
    <definedName name="钢筋切断机">[2]机械!#REF!</definedName>
    <definedName name="钢筋弯曲机">[2]机械!#REF!</definedName>
    <definedName name="沪南路机械设备">#REF!</definedName>
    <definedName name="建築">[12]sheet1!$G$1</definedName>
    <definedName name="交通1">#REF!</definedName>
    <definedName name="阶段">#REF!</definedName>
    <definedName name="空压机9立方米">[2]机械!#REF!</definedName>
    <definedName name="立米">#REF!</definedName>
    <definedName name="龙东路机械设备">#REF!</definedName>
    <definedName name="皮带输送机15米">[2]机械!#REF!</definedName>
    <definedName name="起">[4]!起</definedName>
    <definedName name="汽车起重机16t">[2]机械!#REF!</definedName>
    <definedName name="汽车起重机5t">[2]机械!#REF!</definedName>
    <definedName name="汽车起重机8t">[2]机械!#REF!</definedName>
    <definedName name="潜水泵2.2kw">[2]机械!#REF!</definedName>
    <definedName name="清">[4]!清</definedName>
    <definedName name="清水池管配件">[4]!清水池管配件</definedName>
    <definedName name="清水池进口">#N/A</definedName>
    <definedName name="热敏脱扣">#REF!</definedName>
    <definedName name="人工工资2">[13]材料单价!$B$3</definedName>
    <definedName name="三号泵站机械设备">#REF!</definedName>
    <definedName name="市场价">[4]!市场价</definedName>
    <definedName name="数据查询">[4]!数据查询</definedName>
    <definedName name="数据库管理">[4]!数据库管理</definedName>
    <definedName name="双胶轮车">[2]机械!#REF!</definedName>
    <definedName name="水力冲挖机组4pl_250">[2]机械!#REF!</definedName>
    <definedName name="砼量">#REF!</definedName>
    <definedName name="土方工程">[4]!土方工程</definedName>
    <definedName name="推土机88kw">[2]机械!#REF!</definedName>
    <definedName name="洗石机">[2]机械!#REF!</definedName>
    <definedName name="新表">[11]sis.xlm!$E$15:$E$16384</definedName>
    <definedName name="新山村">#N/A</definedName>
    <definedName name="型号">#REF!</definedName>
    <definedName name="一">[4]!一</definedName>
    <definedName name="一号泵站机械设备">#REF!</definedName>
    <definedName name="有机肥生产车间">[4]!有机肥生产车间</definedName>
    <definedName name="圆形构筑物">[4]!圆形构筑物</definedName>
    <definedName name="载重汽车10t">[2]机械!#REF!</definedName>
    <definedName name="载重汽车5t">[2]机械!#REF!</definedName>
    <definedName name="中">#N/A</definedName>
    <definedName name="朱冰">#N/A</definedName>
    <definedName name="装载机1.5立方米">[2]机械!#REF!</definedName>
    <definedName name="自卸汽车5_t">[2]机械!#REF!</definedName>
    <definedName name="_____xx3" localSheetId="7">_____xx3</definedName>
    <definedName name="____xx3" localSheetId="7">____xx3</definedName>
    <definedName name="Payment_Number" localSheetId="7">ROW()-Header_Row</definedName>
    <definedName name="Principal" localSheetId="7">-PPMT(Interest_Rate/12,'zb-推荐方案 (2)'!Payment_Number,Number_of_Payments,Loan_Amount)</definedName>
    <definedName name="_xlnm.Print_Area" localSheetId="7">'zb-推荐方案 (2)'!$B$1:$L$66</definedName>
    <definedName name="_xlnm.Print_Titles" localSheetId="7">'zb-推荐方案 (2)'!$1:$4</definedName>
    <definedName name="Values_Entered" localSheetId="7">IF(Loan_Amount*Interest_Rate*Loan_Years*Loan_Start&gt;0,1,0)</definedName>
    <definedName name="_____xx3" localSheetId="6">_____xx3</definedName>
    <definedName name="____xx3" localSheetId="6">____xx3</definedName>
    <definedName name="Payment_Number" localSheetId="6">ROW()-Header_Row</definedName>
    <definedName name="Principal" localSheetId="6">-PPMT(Interest_Rate/12,'zb-推荐方案 1105'!Payment_Number,Number_of_Payments,Loan_Amount)</definedName>
    <definedName name="_xlnm.Print_Area" localSheetId="6">'zb-推荐方案 1105'!$B$1:$L$66</definedName>
    <definedName name="_xlnm.Print_Titles" localSheetId="6">'zb-推荐方案 1105'!$1:$4</definedName>
    <definedName name="Values_Entered" localSheetId="6">IF(Loan_Amount*Interest_Rate*Loan_Years*Loan_Start&gt;0,1,0)</definedName>
    <definedName name="_____xx3" localSheetId="5">_____xx3</definedName>
    <definedName name="____xx3" localSheetId="5">____xx3</definedName>
    <definedName name="Payment_Number" localSheetId="5">ROW()-Header_Row</definedName>
    <definedName name="Principal" localSheetId="5">-PPMT(Interest_Rate/12,'zb-推荐方案 1118'!Payment_Number,Number_of_Payments,Loan_Amount)</definedName>
    <definedName name="_xlnm.Print_Area" localSheetId="5">'zb-推荐方案 1118'!$B$1:$L$66</definedName>
    <definedName name="_xlnm.Print_Titles" localSheetId="5">'zb-推荐方案 1118'!$1:$4</definedName>
    <definedName name="Values_Entered" localSheetId="5">IF(Loan_Amount*Interest_Rate*Loan_Years*Loan_Start&gt;0,1,0)</definedName>
    <definedName name="_____xx3" localSheetId="4">_____xx3</definedName>
    <definedName name="____xx3" localSheetId="4">____xx3</definedName>
    <definedName name="Payment_Number" localSheetId="4">ROW()-Header_Row</definedName>
    <definedName name="Principal" localSheetId="4">-PPMT(Interest_Rate/12,'zb-推荐方案 1205'!Payment_Number,Number_of_Payments,Loan_Amount)</definedName>
    <definedName name="_xlnm.Print_Area" localSheetId="4">'zb-推荐方案 1205'!$B$1:$L$66</definedName>
    <definedName name="_xlnm.Print_Titles" localSheetId="4">'zb-推荐方案 1205'!$1:$4</definedName>
    <definedName name="Values_Entered" localSheetId="4">IF(Loan_Amount*Interest_Rate*Loan_Years*Loan_Start&gt;0,1,0)</definedName>
    <definedName name="_____xx3" localSheetId="1">_____xx3</definedName>
    <definedName name="____xx3" localSheetId="1">____xx3</definedName>
    <definedName name="Payment_Number" localSheetId="1">ROW()-Header_Row</definedName>
    <definedName name="Principal" localSheetId="1">-PPMT(Interest_Rate/12,'zb-推荐方案0108'!Payment_Number,Number_of_Payments,Loan_Amount)</definedName>
    <definedName name="_xlnm.Print_Area" localSheetId="1">'zb-推荐方案0108'!$B$1:$L$65</definedName>
    <definedName name="_xlnm.Print_Titles" localSheetId="1">'zb-推荐方案0108'!$1:$4</definedName>
    <definedName name="Values_Entered" localSheetId="1">IF(Loan_Amount*Interest_Rate*Loan_Years*Loan_Start&gt;0,1,0)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<sst xmlns="http://schemas.openxmlformats.org/spreadsheetml/2006/main" count="1180" uniqueCount="392">
  <si>
    <t>总概算表</t>
  </si>
  <si>
    <t xml:space="preserve">  建设项目名称：三亚湾路海月广场地下人行过街通道</t>
  </si>
  <si>
    <t>序号</t>
  </si>
  <si>
    <t>工程或费用名称</t>
  </si>
  <si>
    <t>概算金额(万元)</t>
  </si>
  <si>
    <t>技术经济指标</t>
  </si>
  <si>
    <t>备注</t>
  </si>
  <si>
    <t>红线宽度</t>
  </si>
  <si>
    <t>建筑工程</t>
  </si>
  <si>
    <t>安装工程</t>
  </si>
  <si>
    <t>设备及工器具购置</t>
  </si>
  <si>
    <t>其他费用</t>
  </si>
  <si>
    <t>合计</t>
  </si>
  <si>
    <t>单位</t>
  </si>
  <si>
    <t>数量</t>
  </si>
  <si>
    <t>单位价值(元)</t>
  </si>
  <si>
    <t>初设</t>
  </si>
  <si>
    <t>工可批复</t>
  </si>
  <si>
    <t>初设-工可</t>
  </si>
  <si>
    <t>第一部分工程费用</t>
  </si>
  <si>
    <t>一</t>
  </si>
  <si>
    <t>地面道路</t>
  </si>
  <si>
    <t>m2</t>
  </si>
  <si>
    <t>道路工程</t>
  </si>
  <si>
    <t>交通设施工程</t>
  </si>
  <si>
    <t>道路绿化工程</t>
  </si>
  <si>
    <t>给水工程</t>
  </si>
  <si>
    <t>二</t>
  </si>
  <si>
    <t>人行通道工程</t>
  </si>
  <si>
    <t>梯道敞开段土建工程</t>
  </si>
  <si>
    <t>通道及梯道暗埋段土建工程</t>
  </si>
  <si>
    <t>地道安装工程</t>
  </si>
  <si>
    <t>第一部分费用合计</t>
  </si>
  <si>
    <t>第二部分工程建设其他费用</t>
  </si>
  <si>
    <t>建设用地费</t>
  </si>
  <si>
    <t>管线保护及迁改</t>
  </si>
  <si>
    <t>暂估，以实际发生为准</t>
  </si>
  <si>
    <t>建设单位管理费</t>
  </si>
  <si>
    <t>财建［2016］504号</t>
  </si>
  <si>
    <t>工程监理费</t>
  </si>
  <si>
    <t>发改价格[2007]670号</t>
  </si>
  <si>
    <t>工程造价咨询费</t>
  </si>
  <si>
    <t>工程量清单编制</t>
  </si>
  <si>
    <t>琼价协[2020]01号</t>
  </si>
  <si>
    <t>竣工结算审核</t>
  </si>
  <si>
    <t>施工阶段全过程造价控制费</t>
  </si>
  <si>
    <t>建设项目前期工作咨询费</t>
  </si>
  <si>
    <t>编制可行性研究报告</t>
  </si>
  <si>
    <t>合同价</t>
  </si>
  <si>
    <t>建设项目环境影响咨询费</t>
  </si>
  <si>
    <t>计价格[2002]125号</t>
  </si>
  <si>
    <t>水土保持费</t>
  </si>
  <si>
    <t>水土保持方案编制费</t>
  </si>
  <si>
    <t>保监[2005]22号</t>
  </si>
  <si>
    <t>水土保持监测费</t>
  </si>
  <si>
    <t>水土保持设施竣工验收技术评估报告编制费</t>
  </si>
  <si>
    <t>水土保持技术文件技术咨询服务费</t>
  </si>
  <si>
    <t>水土保持补偿费</t>
  </si>
  <si>
    <t>琼发改收费〔2021〕716 号</t>
  </si>
  <si>
    <t>招标代理费</t>
  </si>
  <si>
    <t>琼价费管[2011]225号</t>
  </si>
  <si>
    <t>工程勘察设计费</t>
  </si>
  <si>
    <t>测量及物探费用</t>
  </si>
  <si>
    <t>建安费*0.25%</t>
  </si>
  <si>
    <t>工程勘察费</t>
  </si>
  <si>
    <t>建安费*0.75%</t>
  </si>
  <si>
    <t>工程设计费</t>
  </si>
  <si>
    <t>计价格[2002]10号</t>
  </si>
  <si>
    <t>施工图审查费</t>
  </si>
  <si>
    <t>琼价费管[2011]224号</t>
  </si>
  <si>
    <t>场地准备及临时设施费</t>
  </si>
  <si>
    <t>建安费*1%</t>
  </si>
  <si>
    <t>工程保险费</t>
  </si>
  <si>
    <t>建安费*0.45%</t>
  </si>
  <si>
    <t>工程质量检测费</t>
  </si>
  <si>
    <t>建安费*0.7%</t>
  </si>
  <si>
    <t>竣工财务决算编制费</t>
  </si>
  <si>
    <t>琼价费管[2011]176号</t>
  </si>
  <si>
    <t>竣工财务决算审查费</t>
  </si>
  <si>
    <t>地质灾害危险性评估报告</t>
  </si>
  <si>
    <t>项目节能评估</t>
  </si>
  <si>
    <t>深基坑监测费</t>
  </si>
  <si>
    <t>基坑支护设计专项评审费</t>
  </si>
  <si>
    <t>环保验收费用</t>
  </si>
  <si>
    <t>供电外线 10KV电源</t>
  </si>
  <si>
    <t>交通疏导费</t>
  </si>
  <si>
    <t>节地评价报告编制费</t>
  </si>
  <si>
    <t>沉降观测费</t>
  </si>
  <si>
    <t>白蚁防治费</t>
  </si>
  <si>
    <t>第二部分费用合计</t>
  </si>
  <si>
    <t>第一、二部分费用合计</t>
  </si>
  <si>
    <t>第三部分预备费用</t>
  </si>
  <si>
    <t>第一、二、三部分费用合计</t>
  </si>
  <si>
    <t>工程总投资</t>
  </si>
  <si>
    <t>取费项目</t>
  </si>
  <si>
    <t>适用地区</t>
  </si>
  <si>
    <t>计算式</t>
  </si>
  <si>
    <t>取费基数</t>
  </si>
  <si>
    <t>费率</t>
  </si>
  <si>
    <t>文号</t>
  </si>
  <si>
    <t>一、建设单位管理费（总投资基数）</t>
  </si>
  <si>
    <t>财建[2002]394号</t>
  </si>
  <si>
    <t xml:space="preserve">    建设单位管理费（总投资基数）</t>
  </si>
  <si>
    <t xml:space="preserve">    建设单位管理费（建安费基数）</t>
  </si>
  <si>
    <t>三府[2014]70号</t>
  </si>
  <si>
    <t>海府办[2011]150号</t>
  </si>
  <si>
    <t>二、建设项目前期工作咨询费（总投资基数）</t>
  </si>
  <si>
    <t>1、编制项目建议书</t>
  </si>
  <si>
    <t>2、编制可行性研究报告</t>
  </si>
  <si>
    <t>3、评估项目建议书</t>
  </si>
  <si>
    <t>4、评估可行性研究报告</t>
  </si>
  <si>
    <t>5、其他</t>
  </si>
  <si>
    <t>三、环境影响评价费（总投资基数）</t>
  </si>
  <si>
    <t>1、编制环境影响报告书（含大纲）</t>
  </si>
  <si>
    <t>2、编制环境影响报告表</t>
  </si>
  <si>
    <t>3、评估环境影响报告书（含大纲）</t>
  </si>
  <si>
    <t>4、评估环境影响报告表</t>
  </si>
  <si>
    <t>四、招标代理服务费</t>
  </si>
  <si>
    <t>琼价费管[2011]225号，在计价格[2002]125号基础上对5亿以上投资减少，增加了最高限价</t>
  </si>
  <si>
    <t>1、勘察招标代理（总投资基数）</t>
  </si>
  <si>
    <t>2、设计招标代理（总投资基数）</t>
  </si>
  <si>
    <t>3、施工监理招标代理（建安费基数）</t>
  </si>
  <si>
    <t>4、施工招标代理（建安费基数）</t>
  </si>
  <si>
    <t>四、招投标交易服务费</t>
  </si>
  <si>
    <t>琼发改收费[2005]1140号</t>
  </si>
  <si>
    <t>1、勘察招标代理</t>
  </si>
  <si>
    <t>2、设计招标代理</t>
  </si>
  <si>
    <t>3、施工监理招标代理</t>
  </si>
  <si>
    <t>4、施工招标代理</t>
  </si>
  <si>
    <t>五、施工图审查费</t>
  </si>
  <si>
    <r>
      <rPr>
        <sz val="10"/>
        <rFont val="宋体"/>
        <charset val="134"/>
      </rPr>
      <t>琼价费管</t>
    </r>
    <r>
      <rPr>
        <sz val="10"/>
        <rFont val="Arial"/>
        <charset val="134"/>
      </rPr>
      <t>[2011]224</t>
    </r>
    <r>
      <rPr>
        <sz val="10"/>
        <rFont val="宋体"/>
        <charset val="134"/>
        <scheme val="minor"/>
      </rPr>
      <t>号</t>
    </r>
  </si>
  <si>
    <t>1、勘察审查</t>
  </si>
  <si>
    <t>2、施工图审查</t>
  </si>
  <si>
    <t>3、其他</t>
  </si>
  <si>
    <t>六、工程造价咨询费</t>
  </si>
  <si>
    <t>琼价协[2020]001号</t>
  </si>
  <si>
    <t>1、概算审核</t>
  </si>
  <si>
    <t>2、工程量清单</t>
  </si>
  <si>
    <t>3、预算或结算审核</t>
  </si>
  <si>
    <t>4、施工阶段全过程造价控制费</t>
  </si>
  <si>
    <t>七、水土保持费</t>
  </si>
  <si>
    <t>仅计水土保持方案编制费</t>
  </si>
  <si>
    <t>1、水土保持方案编制费</t>
  </si>
  <si>
    <t>2、水土保持监测费</t>
  </si>
  <si>
    <t>3、水土保持设施竣工验收技术评估报告编制费</t>
  </si>
  <si>
    <t>4、水土保持技术文件技术咨询服务费</t>
  </si>
  <si>
    <t>八、PPP咨询服务费</t>
  </si>
  <si>
    <t>行业系数</t>
  </si>
  <si>
    <t>复杂系数</t>
  </si>
  <si>
    <t>折扣</t>
  </si>
  <si>
    <t>1、初步实施方案</t>
  </si>
  <si>
    <t>2、《财政承受能力论证报告》</t>
  </si>
  <si>
    <t>3、《物有所值评价报告》</t>
  </si>
  <si>
    <t>4、实施方案</t>
  </si>
  <si>
    <t>5、PPP项目合同咨询</t>
  </si>
  <si>
    <t>6、项目期中及后评价报告</t>
  </si>
  <si>
    <t>九、海南省气候可行性论证费</t>
  </si>
  <si>
    <t>琼价审批〔2014〕17号</t>
  </si>
  <si>
    <t>社会稳定风险评估报告</t>
  </si>
  <si>
    <t>名称</t>
  </si>
  <si>
    <t>综合管廊</t>
  </si>
  <si>
    <t>公用管线工程</t>
  </si>
  <si>
    <t>给排水工程</t>
  </si>
  <si>
    <t>交通工程</t>
  </si>
  <si>
    <t>道路绿化</t>
  </si>
  <si>
    <t>电气工程</t>
  </si>
  <si>
    <t>桥涵工程</t>
  </si>
  <si>
    <t>地道工程</t>
  </si>
  <si>
    <t>水运工程</t>
  </si>
  <si>
    <t>投资</t>
  </si>
  <si>
    <t>设计费费率</t>
  </si>
  <si>
    <t>基准设计费</t>
  </si>
  <si>
    <t>专业系数</t>
  </si>
  <si>
    <t>附加调整系数</t>
  </si>
  <si>
    <t>设计费</t>
  </si>
  <si>
    <t>监理费费率</t>
  </si>
  <si>
    <t>基准监理费</t>
  </si>
  <si>
    <t>监理费</t>
  </si>
  <si>
    <t>贷款额</t>
  </si>
  <si>
    <t>项目</t>
  </si>
  <si>
    <t>金额</t>
  </si>
  <si>
    <t>占比</t>
  </si>
  <si>
    <t>工程费用</t>
  </si>
  <si>
    <t>工程建设其他费用</t>
  </si>
  <si>
    <t>预备费</t>
  </si>
  <si>
    <t>总投资</t>
  </si>
  <si>
    <t>总投资（万元）</t>
  </si>
  <si>
    <t>工程费（万元）</t>
  </si>
  <si>
    <t>工程建设其他费（万元）</t>
  </si>
  <si>
    <t>预备费（万元）</t>
  </si>
  <si>
    <r>
      <rPr>
        <sz val="12"/>
        <rFont val="宋体"/>
        <charset val="134"/>
      </rPr>
      <t>可研批复</t>
    </r>
  </si>
  <si>
    <r>
      <rPr>
        <sz val="12"/>
        <rFont val="宋体"/>
        <charset val="134"/>
      </rPr>
      <t>概算投资</t>
    </r>
  </si>
  <si>
    <r>
      <rPr>
        <sz val="12"/>
        <rFont val="宋体"/>
        <charset val="134"/>
      </rPr>
      <t>增减额（概算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可研批复）</t>
    </r>
  </si>
  <si>
    <t>核增减比例</t>
  </si>
  <si>
    <t>基本预备费    5%</t>
  </si>
  <si>
    <r>
      <rPr>
        <b/>
        <sz val="18"/>
        <rFont val="宋体"/>
        <charset val="134"/>
      </rPr>
      <t>总概算表</t>
    </r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</si>
  <si>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建设项目名称：三亚湾路海月广场地下人行过街通道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</si>
  <si>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</si>
  <si>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工程或费用名称</t>
    </r>
  </si>
  <si>
    <r>
      <rPr>
        <sz val="10"/>
        <rFont val="宋体"/>
        <charset val="134"/>
      </rPr>
      <t>概算金额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</si>
  <si>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技术经济指标</t>
    </r>
  </si>
  <si>
    <r>
      <rPr>
        <sz val="10"/>
        <rFont val="宋体"/>
        <charset val="134"/>
      </rPr>
      <t>建筑工程</t>
    </r>
  </si>
  <si>
    <r>
      <rPr>
        <sz val="10"/>
        <rFont val="宋体"/>
        <charset val="134"/>
      </rPr>
      <t>安装工程</t>
    </r>
  </si>
  <si>
    <r>
      <rPr>
        <sz val="10"/>
        <rFont val="宋体"/>
        <charset val="134"/>
      </rPr>
      <t>设备及工器具购置</t>
    </r>
  </si>
  <si>
    <r>
      <rPr>
        <sz val="10"/>
        <rFont val="宋体"/>
        <charset val="134"/>
      </rPr>
      <t>其他费用</t>
    </r>
  </si>
  <si>
    <r>
      <rPr>
        <sz val="10"/>
        <rFont val="宋体"/>
        <charset val="134"/>
      </rPr>
      <t>合计</t>
    </r>
  </si>
  <si>
    <r>
      <rPr>
        <sz val="10"/>
        <rFont val="宋体"/>
        <charset val="134"/>
      </rPr>
      <t>单位</t>
    </r>
  </si>
  <si>
    <r>
      <rPr>
        <sz val="10"/>
        <rFont val="宋体"/>
        <charset val="134"/>
      </rPr>
      <t>数量</t>
    </r>
  </si>
  <si>
    <r>
      <rPr>
        <sz val="10"/>
        <rFont val="宋体"/>
        <charset val="134"/>
      </rPr>
      <t>单位价值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</si>
  <si>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一</t>
    </r>
  </si>
  <si>
    <r>
      <rPr>
        <b/>
        <sz val="10"/>
        <rFont val="宋体"/>
        <charset val="134"/>
      </rPr>
      <t>工程费用</t>
    </r>
  </si>
  <si>
    <t>18273323.72</t>
  </si>
  <si>
    <t>19237137.98</t>
  </si>
  <si>
    <r>
      <rPr>
        <b/>
        <sz val="10"/>
        <rFont val="宋体"/>
        <charset val="134"/>
      </rPr>
      <t>地面道路</t>
    </r>
  </si>
  <si>
    <r>
      <rPr>
        <b/>
        <sz val="10"/>
        <rFont val="Times New Roman"/>
        <charset val="134"/>
      </rPr>
      <t>m</t>
    </r>
    <r>
      <rPr>
        <b/>
        <vertAlign val="superscript"/>
        <sz val="10"/>
        <rFont val="Times New Roman"/>
        <charset val="134"/>
      </rPr>
      <t>2</t>
    </r>
  </si>
  <si>
    <r>
      <rPr>
        <sz val="10"/>
        <rFont val="宋体"/>
        <charset val="134"/>
      </rPr>
      <t>道路工程</t>
    </r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</si>
  <si>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</si>
  <si>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r>
      <rPr>
        <sz val="10"/>
        <rFont val="宋体"/>
        <charset val="134"/>
      </rPr>
      <t>交通设施工程</t>
    </r>
  </si>
  <si>
    <r>
      <rPr>
        <sz val="10"/>
        <rFont val="宋体"/>
        <charset val="134"/>
      </rPr>
      <t>道路绿化工程</t>
    </r>
  </si>
  <si>
    <r>
      <rPr>
        <sz val="10"/>
        <rFont val="宋体"/>
        <charset val="134"/>
      </rPr>
      <t>给水工程</t>
    </r>
  </si>
  <si>
    <r>
      <rPr>
        <b/>
        <sz val="10"/>
        <rFont val="宋体"/>
        <charset val="134"/>
      </rPr>
      <t>人行通道工程</t>
    </r>
  </si>
  <si>
    <t>14571280.34</t>
  </si>
  <si>
    <t>15535094.60</t>
  </si>
  <si>
    <r>
      <rPr>
        <sz val="10"/>
        <rFont val="宋体"/>
        <charset val="134"/>
      </rPr>
      <t>梯道敞开段土建工程</t>
    </r>
  </si>
  <si>
    <r>
      <rPr>
        <sz val="10"/>
        <rFont val="宋体"/>
        <charset val="134"/>
      </rPr>
      <t>通道及梯道暗埋段土建工程</t>
    </r>
  </si>
  <si>
    <r>
      <rPr>
        <sz val="10"/>
        <rFont val="宋体"/>
        <charset val="134"/>
      </rPr>
      <t>地道安装工程</t>
    </r>
  </si>
  <si>
    <r>
      <rPr>
        <sz val="10"/>
        <rFont val="宋体"/>
        <charset val="134"/>
      </rPr>
      <t>二</t>
    </r>
  </si>
  <si>
    <r>
      <rPr>
        <b/>
        <sz val="10"/>
        <rFont val="宋体"/>
        <charset val="134"/>
      </rPr>
      <t>工程建设其他费用</t>
    </r>
  </si>
  <si>
    <t>详见附表</t>
  </si>
  <si>
    <r>
      <rPr>
        <sz val="10"/>
        <rFont val="宋体"/>
        <charset val="134"/>
      </rPr>
      <t>财建〔</t>
    </r>
    <r>
      <rPr>
        <sz val="10"/>
        <rFont val="Times New Roman"/>
        <charset val="134"/>
      </rPr>
      <t>2016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504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</si>
  <si>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发改价格〔</t>
    </r>
    <r>
      <rPr>
        <sz val="10"/>
        <rFont val="Times New Roman"/>
        <charset val="134"/>
      </rPr>
      <t>2007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670</t>
    </r>
    <r>
      <rPr>
        <sz val="10"/>
        <rFont val="宋体"/>
        <charset val="134"/>
      </rPr>
      <t>号，八折计入</t>
    </r>
  </si>
  <si>
    <t>标准收费</t>
  </si>
  <si>
    <t>合同价计算公式</t>
  </si>
  <si>
    <r>
      <rPr>
        <sz val="10"/>
        <rFont val="宋体"/>
        <charset val="134"/>
      </rPr>
      <t>琼价协〔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01</t>
    </r>
    <r>
      <rPr>
        <sz val="10"/>
        <rFont val="宋体"/>
        <charset val="134"/>
      </rPr>
      <t>号，八折计入</t>
    </r>
  </si>
  <si>
    <t>可行性研究报告编制费</t>
  </si>
  <si>
    <t>可研标准收费</t>
  </si>
  <si>
    <t>不发生</t>
  </si>
  <si>
    <r>
      <rPr>
        <sz val="10"/>
        <rFont val="宋体"/>
        <charset val="134"/>
      </rPr>
      <t>保监〔</t>
    </r>
    <r>
      <rPr>
        <sz val="10"/>
        <rFont val="Times New Roman"/>
        <charset val="134"/>
      </rPr>
      <t>2005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号,五折计入</t>
    </r>
  </si>
  <si>
    <r>
      <rPr>
        <sz val="10"/>
        <rFont val="宋体"/>
        <charset val="134"/>
      </rPr>
      <t>保监〔</t>
    </r>
    <r>
      <rPr>
        <sz val="10"/>
        <rFont val="Times New Roman"/>
        <charset val="134"/>
      </rPr>
      <t>2005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</si>
  <si>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琼发改收费〔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716 </t>
    </r>
    <r>
      <rPr>
        <sz val="10"/>
        <rFont val="宋体"/>
        <charset val="134"/>
      </rPr>
      <t>号</t>
    </r>
  </si>
  <si>
    <t>工程招标代理费</t>
  </si>
  <si>
    <r>
      <rPr>
        <sz val="10"/>
        <rFont val="宋体"/>
        <charset val="134"/>
      </rPr>
      <t>琼价费管〔</t>
    </r>
    <r>
      <rPr>
        <sz val="10"/>
        <rFont val="Times New Roman"/>
        <charset val="134"/>
      </rPr>
      <t>2011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225</t>
    </r>
    <r>
      <rPr>
        <sz val="10"/>
        <rFont val="宋体"/>
        <charset val="134"/>
      </rPr>
      <t>号，八折计入</t>
    </r>
  </si>
  <si>
    <t>测绘费用</t>
  </si>
  <si>
    <t>测绘合同价</t>
  </si>
  <si>
    <r>
      <rPr>
        <sz val="10"/>
        <rFont val="宋体"/>
        <charset val="134"/>
      </rPr>
      <t>计价格〔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号，按合同约定折扣计算</t>
    </r>
  </si>
  <si>
    <t>设计合同价</t>
  </si>
  <si>
    <r>
      <rPr>
        <sz val="10"/>
        <rFont val="宋体"/>
        <charset val="134"/>
      </rPr>
      <t>琼价费管〔</t>
    </r>
    <r>
      <rPr>
        <sz val="10"/>
        <rFont val="Times New Roman"/>
        <charset val="134"/>
      </rPr>
      <t>2011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224</t>
    </r>
    <r>
      <rPr>
        <sz val="10"/>
        <rFont val="宋体"/>
        <charset val="134"/>
      </rPr>
      <t>号，八折计入</t>
    </r>
  </si>
  <si>
    <r>
      <rPr>
        <sz val="10"/>
        <rFont val="宋体"/>
        <charset val="134"/>
      </rPr>
      <t>工程费</t>
    </r>
    <r>
      <rPr>
        <sz val="10"/>
        <rFont val="Times New Roman"/>
        <charset val="134"/>
      </rPr>
      <t>×0.5%</t>
    </r>
  </si>
  <si>
    <r>
      <rPr>
        <sz val="10"/>
        <rFont val="宋体"/>
        <charset val="134"/>
      </rPr>
      <t>工程费×</t>
    </r>
    <r>
      <rPr>
        <sz val="10"/>
        <rFont val="Times New Roman"/>
        <charset val="134"/>
      </rPr>
      <t>0.3%</t>
    </r>
  </si>
  <si>
    <t>八折计入</t>
  </si>
  <si>
    <r>
      <rPr>
        <sz val="10"/>
        <rFont val="宋体"/>
        <charset val="134"/>
      </rPr>
      <t>按投资额</t>
    </r>
    <r>
      <rPr>
        <sz val="10"/>
        <rFont val="Times New Roman"/>
        <charset val="134"/>
      </rPr>
      <t>2.5‰</t>
    </r>
    <r>
      <rPr>
        <sz val="10"/>
        <rFont val="宋体"/>
        <charset val="134"/>
      </rPr>
      <t>的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折计算</t>
    </r>
  </si>
  <si>
    <r>
      <rPr>
        <sz val="10"/>
        <rFont val="宋体"/>
        <charset val="134"/>
      </rPr>
      <t>按投资额</t>
    </r>
    <r>
      <rPr>
        <sz val="10"/>
        <rFont val="Times New Roman"/>
        <charset val="134"/>
      </rPr>
      <t>2.5‰</t>
    </r>
    <r>
      <rPr>
        <sz val="10"/>
        <rFont val="宋体"/>
        <charset val="134"/>
      </rPr>
      <t>的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折计算</t>
    </r>
  </si>
  <si>
    <r>
      <rPr>
        <sz val="10"/>
        <rFont val="宋体"/>
        <charset val="134"/>
      </rPr>
      <t>发改办价格〔</t>
    </r>
    <r>
      <rPr>
        <sz val="10"/>
        <rFont val="Times New Roman"/>
        <charset val="134"/>
      </rPr>
      <t>2006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 xml:space="preserve">745 </t>
    </r>
    <r>
      <rPr>
        <sz val="10"/>
        <rFont val="宋体"/>
        <charset val="134"/>
      </rPr>
      <t>号</t>
    </r>
  </si>
  <si>
    <t>暂按送审金额计入</t>
  </si>
  <si>
    <t>计价格〔2020〕125 号，五折计入</t>
  </si>
  <si>
    <r>
      <rPr>
        <sz val="10"/>
        <rFont val="宋体"/>
        <charset val="134"/>
      </rPr>
      <t>供电外线</t>
    </r>
    <r>
      <rPr>
        <sz val="10"/>
        <rFont val="Times New Roman"/>
        <charset val="134"/>
      </rPr>
      <t xml:space="preserve"> 10KV</t>
    </r>
    <r>
      <rPr>
        <sz val="10"/>
        <rFont val="宋体"/>
        <charset val="134"/>
      </rPr>
      <t>电源</t>
    </r>
  </si>
  <si>
    <t>社会光缆租用</t>
  </si>
  <si>
    <t>由工程费调入</t>
  </si>
  <si>
    <t>计入工程检测费，不单独列项</t>
  </si>
  <si>
    <t>4元/平米计入</t>
  </si>
  <si>
    <r>
      <rPr>
        <sz val="10"/>
        <rFont val="宋体"/>
        <charset val="134"/>
      </rPr>
      <t>三</t>
    </r>
  </si>
  <si>
    <r>
      <rPr>
        <sz val="10"/>
        <rFont val="宋体"/>
        <charset val="134"/>
      </rPr>
      <t>基本预备费</t>
    </r>
    <r>
      <rPr>
        <sz val="10"/>
        <rFont val="Times New Roman"/>
        <charset val="134"/>
      </rPr>
      <t>5%</t>
    </r>
  </si>
  <si>
    <r>
      <rPr>
        <b/>
        <sz val="10"/>
        <rFont val="宋体"/>
        <charset val="134"/>
      </rPr>
      <t>四</t>
    </r>
  </si>
  <si>
    <r>
      <rPr>
        <sz val="10"/>
        <rFont val="宋体"/>
        <charset val="134"/>
      </rPr>
      <t>可研批复</t>
    </r>
  </si>
  <si>
    <r>
      <rPr>
        <sz val="10"/>
        <rFont val="宋体"/>
        <charset val="134"/>
      </rPr>
      <t>审定概算</t>
    </r>
  </si>
  <si>
    <r>
      <rPr>
        <sz val="10"/>
        <rFont val="宋体"/>
        <charset val="134"/>
      </rPr>
      <t>核增减</t>
    </r>
  </si>
  <si>
    <r>
      <rPr>
        <sz val="10"/>
        <rFont val="宋体"/>
        <charset val="134"/>
      </rPr>
      <t>比例</t>
    </r>
  </si>
  <si>
    <r>
      <rPr>
        <sz val="10"/>
        <rFont val="宋体"/>
        <charset val="134"/>
      </rPr>
      <t>工程费用</t>
    </r>
  </si>
  <si>
    <r>
      <rPr>
        <sz val="10"/>
        <rFont val="宋体"/>
        <charset val="134"/>
      </rPr>
      <t>其他费</t>
    </r>
  </si>
  <si>
    <r>
      <rPr>
        <sz val="10"/>
        <rFont val="宋体"/>
        <charset val="134"/>
      </rPr>
      <t>预备费</t>
    </r>
  </si>
  <si>
    <r>
      <rPr>
        <sz val="10"/>
        <rFont val="宋体"/>
        <charset val="134"/>
      </rPr>
      <t>总投资</t>
    </r>
  </si>
  <si>
    <t>审核对比表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</si>
  <si>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</si>
  <si>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</si>
  <si>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修编后送审金额（万元）</t>
    </r>
  </si>
  <si>
    <r>
      <rPr>
        <b/>
        <sz val="10"/>
        <rFont val="宋体"/>
        <charset val="134"/>
      </rPr>
      <t>审定金额（万元）</t>
    </r>
  </si>
  <si>
    <r>
      <rPr>
        <b/>
        <sz val="10"/>
        <rFont val="宋体"/>
        <charset val="134"/>
      </rPr>
      <t>核增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宋体"/>
        <charset val="134"/>
      </rPr>
      <t>减额（审定</t>
    </r>
    <r>
      <rPr>
        <b/>
        <sz val="10"/>
        <color rgb="FF000000"/>
        <rFont val="Times New Roman"/>
        <charset val="134"/>
      </rPr>
      <t>-</t>
    </r>
    <r>
      <rPr>
        <b/>
        <sz val="10"/>
        <color rgb="FF000000"/>
        <rFont val="宋体"/>
        <charset val="134"/>
      </rPr>
      <t>修编后送审）</t>
    </r>
  </si>
  <si>
    <r>
      <rPr>
        <b/>
        <sz val="10"/>
        <rFont val="宋体"/>
        <charset val="134"/>
      </rPr>
      <t>核增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宋体"/>
        <charset val="134"/>
      </rPr>
      <t>减率</t>
    </r>
  </si>
  <si>
    <r>
      <rPr>
        <b/>
        <sz val="10"/>
        <rFont val="宋体"/>
        <charset val="134"/>
      </rPr>
      <t>备注</t>
    </r>
  </si>
  <si>
    <t>管线迁改</t>
  </si>
  <si>
    <t>联合试运转费</t>
  </si>
  <si>
    <t>地基检测</t>
  </si>
  <si>
    <t>社会稳定风险评估费</t>
  </si>
  <si>
    <t>琼风评研中心函[2019]1号</t>
  </si>
  <si>
    <t>测定单价</t>
  </si>
  <si>
    <t>系数</t>
  </si>
  <si>
    <t>单价</t>
  </si>
  <si>
    <t>清表（运10km）</t>
  </si>
  <si>
    <t>m3</t>
  </si>
  <si>
    <t>土方开挖（利用方 运1km）</t>
  </si>
  <si>
    <t>土方开挖（利用方 运3km）</t>
  </si>
  <si>
    <t>外购方回填</t>
  </si>
  <si>
    <t>石方开挖（外弃 运10km）</t>
  </si>
  <si>
    <t>利用方回填</t>
  </si>
  <si>
    <t>铣刨加罩（18cm沥青砼）</t>
  </si>
  <si>
    <t>新老路面结合基层开挖</t>
  </si>
  <si>
    <t>土方开挖（外弃 运10km）</t>
  </si>
  <si>
    <t>聚酯玻纤布</t>
  </si>
  <si>
    <t>土工格栅</t>
  </si>
  <si>
    <t>回填片石</t>
  </si>
  <si>
    <t>回填碎石</t>
  </si>
  <si>
    <t>针刺无纺土工布（400g/m2）</t>
  </si>
  <si>
    <t>植草护坡</t>
  </si>
  <si>
    <t>浆砌片石护坡</t>
  </si>
  <si>
    <t>黏土围堰</t>
  </si>
  <si>
    <t>抽水</t>
  </si>
  <si>
    <t>粘层油</t>
  </si>
  <si>
    <t>透层</t>
  </si>
  <si>
    <t>4cm 细粒式沥青砼AC-13C（SBS改性沥青）</t>
  </si>
  <si>
    <t>6cm 中粒式SBS改性沥青混凝土（AC-20C）</t>
  </si>
  <si>
    <t>8cm 粗粒式SBS改性沥青混凝土（AC-25C）</t>
  </si>
  <si>
    <t>6cm 粗粒式沥青混凝土（AC-20C）</t>
  </si>
  <si>
    <t>1cm 乳化沥青同步碎石封层</t>
  </si>
  <si>
    <t>18cm 5%水泥稳定碎石</t>
  </si>
  <si>
    <t>18cm 4%水泥稳定碎石</t>
  </si>
  <si>
    <t>15cm 5%水泥稳定碎石</t>
  </si>
  <si>
    <t>15cm 4%水泥稳定碎石</t>
  </si>
  <si>
    <t>20cm 级配碎石</t>
  </si>
  <si>
    <t>6cm 粗粒式沥青混凝土（AC-25C）</t>
  </si>
  <si>
    <t>20cm 5%水泥稳定碎石</t>
  </si>
  <si>
    <t>新建人行道（15cm级配碎石+15cm透水混凝土+3cm水泥砂浆+6cm透水人行道砖）</t>
  </si>
  <si>
    <t>新建人行过街岛（10cm级配碎石+15cmC20混凝土+3cm水泥砂浆+6cm彩色面包砖）</t>
  </si>
  <si>
    <t>耕植土剥离</t>
  </si>
  <si>
    <t>直径1m圆管涵</t>
  </si>
  <si>
    <t>m</t>
  </si>
  <si>
    <t>直径1.5m圆管涵</t>
  </si>
  <si>
    <t>新建C30砼侧平石</t>
  </si>
  <si>
    <t>新建C30砼锁边石</t>
  </si>
  <si>
    <t>单箅式雨水口</t>
  </si>
  <si>
    <t>个</t>
  </si>
  <si>
    <t>双箅式雨水口</t>
  </si>
  <si>
    <t>φ8cm横向排水管（PVC管）</t>
  </si>
  <si>
    <t>φ8cm软式透水管</t>
  </si>
  <si>
    <t>防渗土工布</t>
  </si>
  <si>
    <t>下凹式绿地（20cm蓄水层+5cm砾石+30cm砾石排水层+5cm厚中砂过滤+50cm厚沸石+30cm厚φ10~φ20砾石排水层+300g/m2长丝透水土工布+素土夯实）</t>
  </si>
  <si>
    <t>φ160 PVC溢水管</t>
  </si>
  <si>
    <t>φ160 PVC进水管</t>
  </si>
  <si>
    <t>旧路破除-水泥（20cm水泥混凝土+20cm水泥稳定碎石）</t>
  </si>
  <si>
    <t>拆除房屋基础</t>
  </si>
  <si>
    <t>拆除路灯灯杆</t>
  </si>
  <si>
    <t>箱涵 1-3.5x2</t>
  </si>
  <si>
    <t>整治现状沟渠</t>
  </si>
  <si>
    <t>污水工程</t>
  </si>
  <si>
    <t>球墨铸铁管DN400 取定埋深1.6m</t>
  </si>
  <si>
    <t>球墨铸铁管DN400 取定埋深2.1m</t>
  </si>
  <si>
    <t>球墨铸铁管DN400 取定埋深2.6m</t>
  </si>
  <si>
    <t>球墨铸铁管DN400 取定埋深2.7m</t>
  </si>
  <si>
    <t>球墨铸铁管DN400 取定埋深3.1m</t>
  </si>
  <si>
    <t>球墨铸铁管DN400 取定埋深3.6m</t>
  </si>
  <si>
    <t>球墨铸铁管DN600 取定埋深3.1m</t>
  </si>
  <si>
    <t>给水/再生水工程</t>
  </si>
  <si>
    <t>球墨铸铁管 DN150</t>
  </si>
  <si>
    <t>球墨铸铁管 DN200</t>
  </si>
  <si>
    <t>球墨铸铁管 DN300</t>
  </si>
  <si>
    <t>球墨铸铁管 DN400</t>
  </si>
  <si>
    <t>球墨铸铁管 DN600</t>
  </si>
  <si>
    <t>交通信号灯及监控系统（十字路口）</t>
  </si>
  <si>
    <t>交通信号灯及监控系统（T字路口）</t>
  </si>
  <si>
    <t xml:space="preserve">大型指路/分车道标志牌 400*250厘米 </t>
  </si>
  <si>
    <t xml:space="preserve">长方形路名牌 150*45厘米 </t>
  </si>
  <si>
    <t>小型标志路牌</t>
  </si>
  <si>
    <t>热熔标线</t>
  </si>
  <si>
    <t>阻车石</t>
  </si>
  <si>
    <t>示警柱</t>
  </si>
  <si>
    <t>根</t>
  </si>
  <si>
    <t>新建公交站</t>
  </si>
  <si>
    <t>新建机非分隔栏</t>
  </si>
  <si>
    <t>新建中央分隔栏</t>
  </si>
  <si>
    <t>现状机动车道破除及恢复(1.5m宽，1m深)</t>
  </si>
  <si>
    <t>现状人行道破除及恢复(1.5m宽，1m深)</t>
  </si>
  <si>
    <t>多功能综合杆</t>
  </si>
  <si>
    <t>套</t>
  </si>
  <si>
    <t>箱式变电站 200KVA</t>
  </si>
  <si>
    <t>台</t>
  </si>
  <si>
    <t>照明配电柜</t>
  </si>
  <si>
    <t>外线电缆 YJV22-8.7/15kV -3×70mm²</t>
  </si>
  <si>
    <t>外线电缆 YJV22-1 4x50+1x25</t>
  </si>
  <si>
    <t>外线电缆 YJV22-1 4x35+1x16</t>
  </si>
  <si>
    <t>电缆沟（1.41x1.17 砖砌）</t>
  </si>
  <si>
    <t>电信排管（3x4孔 φ110*3 UPVC）</t>
  </si>
  <si>
    <t>行道树（火焰木 胸径19-20cm）</t>
  </si>
  <si>
    <t>株</t>
  </si>
  <si>
    <t>行道树（雨树 胸径19-20cm）</t>
  </si>
  <si>
    <t>行道树（麻楝 胸径19-20cm）</t>
  </si>
  <si>
    <t>行道树（秋枫 胸径19-20cm）</t>
  </si>
  <si>
    <t>行道树（小叶榄仁 胸径19-20cm）</t>
  </si>
  <si>
    <t>行道树（大叶榄仁 胸径19-20cm）</t>
  </si>
  <si>
    <t>行道树（凤凰木 胸径19-20cm）</t>
  </si>
  <si>
    <t>行道树（大腹木棉 腹径32-33cm）</t>
  </si>
  <si>
    <t>侧分带/中分带绿化</t>
  </si>
  <si>
    <t>树池及盖板</t>
  </si>
  <si>
    <t>镀锌钢管四角支撑</t>
  </si>
</sst>
</file>

<file path=xl/styles.xml><?xml version="1.0" encoding="utf-8"?>
<styleSheet xmlns="http://schemas.openxmlformats.org/spreadsheetml/2006/main">
  <numFmts count="1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_-* #,##0.00_-;\-* #,##0.00_-;_-* &quot;-&quot;??_-;_-@_-"/>
    <numFmt numFmtId="178" formatCode="0.00;[Red]0.00"/>
    <numFmt numFmtId="179" formatCode="#."/>
    <numFmt numFmtId="180" formatCode="0_);[Red]\(0\)"/>
    <numFmt numFmtId="181" formatCode="&quot;$&quot;#,##0.00_);[Red]\(&quot;$&quot;#,##0.00\)"/>
    <numFmt numFmtId="182" formatCode="_(* #,##0_);_(* \(#,##0\);_(* &quot;-&quot;_);_(@_)"/>
    <numFmt numFmtId="183" formatCode="0.0_ "/>
    <numFmt numFmtId="184" formatCode="&quot;$&quot;#,##0_);[Red]\(&quot;$&quot;#,##0\)"/>
    <numFmt numFmtId="185" formatCode="0_);\(0\)"/>
    <numFmt numFmtId="186" formatCode="0_ "/>
    <numFmt numFmtId="187" formatCode="_(* #,##0.00_);_(* \(#,##0.00\);_(* &quot;-&quot;??_);_(@_)"/>
    <numFmt numFmtId="188" formatCode="0.0_);\(0.0\)"/>
    <numFmt numFmtId="189" formatCode="0.00_ "/>
  </numFmts>
  <fonts count="5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  <scheme val="minor"/>
    </font>
    <font>
      <sz val="10"/>
      <color theme="1"/>
      <name val="Times New Roman"/>
      <charset val="134"/>
    </font>
    <font>
      <b/>
      <sz val="20"/>
      <color theme="1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0"/>
      <color theme="1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rgb="FF00610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9"/>
      <color indexed="36"/>
      <name val="Times New Roman"/>
      <charset val="134"/>
    </font>
    <font>
      <u/>
      <sz val="9"/>
      <color indexed="12"/>
      <name val="Times New Roman"/>
      <charset val="134"/>
    </font>
    <font>
      <sz val="1"/>
      <color indexed="16"/>
      <name val="Courier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i/>
      <sz val="1"/>
      <color indexed="16"/>
      <name val="Courier"/>
      <charset val="134"/>
    </font>
    <font>
      <sz val="10"/>
      <name val="Arial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b/>
      <vertAlign val="superscript"/>
      <sz val="10"/>
      <name val="Times New Roman"/>
      <charset val="134"/>
    </font>
    <font>
      <vertAlign val="superscript"/>
      <sz val="10"/>
      <name val="Times New Roman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0" fontId="38" fillId="0" borderId="0" applyFont="0" applyFill="0" applyBorder="0" applyAlignment="0" applyProtection="0"/>
    <xf numFmtId="0" fontId="25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81" fontId="38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0"/>
    <xf numFmtId="0" fontId="2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179" fontId="44" fillId="0" borderId="0">
      <protection locked="0"/>
    </xf>
    <xf numFmtId="0" fontId="17" fillId="0" borderId="0"/>
    <xf numFmtId="0" fontId="33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17" borderId="9" applyNumberFormat="0" applyAlignment="0" applyProtection="0">
      <alignment vertical="center"/>
    </xf>
    <xf numFmtId="0" fontId="47" fillId="17" borderId="7" applyNumberFormat="0" applyAlignment="0" applyProtection="0">
      <alignment vertical="center"/>
    </xf>
    <xf numFmtId="0" fontId="49" fillId="31" borderId="14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179" fontId="44" fillId="0" borderId="0">
      <protection locked="0"/>
    </xf>
    <xf numFmtId="0" fontId="29" fillId="4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79" fontId="44" fillId="0" borderId="0">
      <protection locked="0"/>
    </xf>
    <xf numFmtId="0" fontId="0" fillId="0" borderId="0">
      <alignment vertical="center"/>
    </xf>
    <xf numFmtId="0" fontId="29" fillId="39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82" fontId="6" fillId="0" borderId="0" applyFont="0" applyFill="0" applyBorder="0" applyAlignment="0" applyProtection="0"/>
    <xf numFmtId="0" fontId="50" fillId="0" borderId="0"/>
    <xf numFmtId="0" fontId="52" fillId="0" borderId="0"/>
    <xf numFmtId="179" fontId="53" fillId="0" borderId="0">
      <protection locked="0"/>
    </xf>
    <xf numFmtId="43" fontId="17" fillId="0" borderId="0" applyFont="0" applyFill="0" applyBorder="0" applyAlignment="0" applyProtection="0"/>
    <xf numFmtId="0" fontId="4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51" fillId="0" borderId="0">
      <alignment vertical="center"/>
    </xf>
    <xf numFmtId="0" fontId="0" fillId="0" borderId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top"/>
      <protection locked="0"/>
    </xf>
    <xf numFmtId="179" fontId="44" fillId="0" borderId="0">
      <protection locked="0"/>
    </xf>
    <xf numFmtId="179" fontId="44" fillId="0" borderId="0">
      <protection locked="0"/>
    </xf>
    <xf numFmtId="179" fontId="44" fillId="0" borderId="0">
      <protection locked="0"/>
    </xf>
    <xf numFmtId="0" fontId="17" fillId="0" borderId="0"/>
    <xf numFmtId="38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37" fontId="37" fillId="0" borderId="0"/>
    <xf numFmtId="0" fontId="45" fillId="29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36" fillId="23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17" fillId="0" borderId="0"/>
    <xf numFmtId="186" fontId="0" fillId="0" borderId="1">
      <alignment horizontal="center"/>
    </xf>
    <xf numFmtId="0" fontId="0" fillId="0" borderId="0">
      <alignment vertical="center"/>
    </xf>
    <xf numFmtId="0" fontId="38" fillId="0" borderId="0"/>
    <xf numFmtId="186" fontId="0" fillId="0" borderId="1">
      <alignment horizontal="center"/>
    </xf>
    <xf numFmtId="0" fontId="54" fillId="0" borderId="0"/>
    <xf numFmtId="0" fontId="31" fillId="1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4" fillId="0" borderId="0"/>
    <xf numFmtId="187" fontId="6" fillId="0" borderId="0" applyFont="0" applyFill="0" applyBorder="0" applyAlignment="0" applyProtection="0"/>
    <xf numFmtId="41" fontId="17" fillId="0" borderId="0" applyFont="0" applyFill="0" applyBorder="0" applyAlignment="0" applyProtection="0"/>
  </cellStyleXfs>
  <cellXfs count="2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9" fontId="3" fillId="0" borderId="1" xfId="96" applyNumberFormat="1" applyFont="1" applyFill="1" applyBorder="1" applyAlignment="1">
      <alignment horizontal="left" vertical="center"/>
    </xf>
    <xf numFmtId="189" fontId="3" fillId="0" borderId="1" xfId="0" applyNumberFormat="1" applyFont="1" applyFill="1" applyBorder="1" applyAlignment="1">
      <alignment horizontal="center" vertical="center"/>
    </xf>
    <xf numFmtId="189" fontId="4" fillId="0" borderId="1" xfId="96" applyNumberFormat="1" applyFont="1" applyFill="1" applyBorder="1" applyAlignment="1">
      <alignment horizontal="left" vertical="center"/>
    </xf>
    <xf numFmtId="189" fontId="4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9" fontId="5" fillId="0" borderId="1" xfId="0" applyNumberFormat="1" applyFont="1" applyFill="1" applyBorder="1" applyAlignment="1">
      <alignment horizontal="left" vertical="center"/>
    </xf>
    <xf numFmtId="189" fontId="3" fillId="0" borderId="1" xfId="96" applyNumberFormat="1" applyFont="1" applyFill="1" applyBorder="1" applyAlignment="1">
      <alignment horizontal="left" vertical="center" wrapText="1"/>
    </xf>
    <xf numFmtId="180" fontId="6" fillId="0" borderId="1" xfId="83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89" fontId="7" fillId="0" borderId="1" xfId="96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89" fontId="3" fillId="3" borderId="1" xfId="96" applyNumberFormat="1" applyFont="1" applyFill="1" applyBorder="1" applyAlignment="1">
      <alignment horizontal="left" vertical="center"/>
    </xf>
    <xf numFmtId="0" fontId="3" fillId="0" borderId="1" xfId="96" applyFont="1" applyFill="1" applyBorder="1" applyAlignment="1">
      <alignment horizontal="left" vertical="center"/>
    </xf>
    <xf numFmtId="186" fontId="3" fillId="0" borderId="1" xfId="0" applyNumberFormat="1" applyFont="1" applyFill="1" applyBorder="1" applyAlignment="1">
      <alignment horizontal="center" vertical="center"/>
    </xf>
    <xf numFmtId="0" fontId="3" fillId="0" borderId="2" xfId="96" applyFont="1" applyFill="1" applyBorder="1" applyAlignment="1">
      <alignment horizontal="left" vertical="center"/>
    </xf>
    <xf numFmtId="189" fontId="3" fillId="0" borderId="2" xfId="96" applyNumberFormat="1" applyFont="1" applyFill="1" applyBorder="1" applyAlignment="1">
      <alignment horizontal="left" vertical="center"/>
    </xf>
    <xf numFmtId="189" fontId="3" fillId="0" borderId="0" xfId="0" applyNumberFormat="1" applyFont="1" applyFill="1" applyAlignment="1">
      <alignment horizontal="center" vertical="center"/>
    </xf>
    <xf numFmtId="189" fontId="7" fillId="0" borderId="0" xfId="0" applyNumberFormat="1" applyFont="1" applyFill="1" applyAlignment="1">
      <alignment horizontal="center" vertical="center"/>
    </xf>
    <xf numFmtId="0" fontId="8" fillId="0" borderId="0" xfId="90" applyFont="1" applyFill="1" applyAlignment="1">
      <alignment horizontal="center" vertical="center"/>
    </xf>
    <xf numFmtId="0" fontId="9" fillId="0" borderId="0" xfId="72" applyFont="1" applyFill="1" applyAlignment="1">
      <alignment horizontal="center" vertical="center"/>
    </xf>
    <xf numFmtId="0" fontId="8" fillId="0" borderId="0" xfId="72" applyFont="1" applyFill="1" applyAlignment="1">
      <alignment horizontal="center" vertical="center"/>
    </xf>
    <xf numFmtId="189" fontId="8" fillId="0" borderId="0" xfId="59" applyNumberFormat="1" applyFont="1" applyFill="1" applyAlignment="1">
      <alignment horizontal="center" vertical="center"/>
    </xf>
    <xf numFmtId="189" fontId="8" fillId="0" borderId="0" xfId="0" applyNumberFormat="1" applyFont="1" applyFill="1" applyAlignment="1">
      <alignment horizontal="center" vertical="center"/>
    </xf>
    <xf numFmtId="185" fontId="8" fillId="0" borderId="0" xfId="0" applyNumberFormat="1" applyFont="1" applyFill="1" applyAlignment="1">
      <alignment horizontal="center" vertical="center"/>
    </xf>
    <xf numFmtId="186" fontId="8" fillId="0" borderId="0" xfId="0" applyNumberFormat="1" applyFont="1" applyFill="1" applyAlignment="1">
      <alignment horizontal="center" vertical="center"/>
    </xf>
    <xf numFmtId="185" fontId="10" fillId="0" borderId="0" xfId="0" applyNumberFormat="1" applyFont="1" applyFill="1" applyAlignment="1">
      <alignment horizontal="center" vertical="center"/>
    </xf>
    <xf numFmtId="189" fontId="10" fillId="0" borderId="0" xfId="0" applyNumberFormat="1" applyFont="1" applyFill="1" applyAlignment="1">
      <alignment horizontal="center" vertical="center"/>
    </xf>
    <xf numFmtId="185" fontId="3" fillId="0" borderId="0" xfId="0" applyNumberFormat="1" applyFont="1" applyFill="1" applyBorder="1" applyAlignment="1">
      <alignment horizontal="left" vertical="center"/>
    </xf>
    <xf numFmtId="189" fontId="3" fillId="0" borderId="0" xfId="0" applyNumberFormat="1" applyFont="1" applyFill="1" applyBorder="1" applyAlignment="1">
      <alignment horizontal="center" vertical="center"/>
    </xf>
    <xf numFmtId="185" fontId="3" fillId="0" borderId="1" xfId="0" applyNumberFormat="1" applyFont="1" applyFill="1" applyBorder="1" applyAlignment="1">
      <alignment horizontal="center" vertical="center"/>
    </xf>
    <xf numFmtId="189" fontId="3" fillId="0" borderId="1" xfId="0" applyNumberFormat="1" applyFont="1" applyFill="1" applyBorder="1" applyAlignment="1">
      <alignment horizontal="center" vertical="center" wrapText="1"/>
    </xf>
    <xf numFmtId="189" fontId="7" fillId="0" borderId="1" xfId="0" applyNumberFormat="1" applyFont="1" applyFill="1" applyBorder="1" applyAlignment="1">
      <alignment horizontal="left" vertical="center" shrinkToFit="1"/>
    </xf>
    <xf numFmtId="189" fontId="7" fillId="0" borderId="1" xfId="0" applyNumberFormat="1" applyFont="1" applyFill="1" applyBorder="1" applyAlignment="1">
      <alignment horizontal="center" vertical="center" shrinkToFit="1"/>
    </xf>
    <xf numFmtId="189" fontId="7" fillId="4" borderId="1" xfId="0" applyNumberFormat="1" applyFont="1" applyFill="1" applyBorder="1" applyAlignment="1">
      <alignment horizontal="left" vertical="center" shrinkToFit="1"/>
    </xf>
    <xf numFmtId="189" fontId="3" fillId="0" borderId="1" xfId="96" applyNumberFormat="1" applyFont="1" applyFill="1" applyBorder="1" applyAlignment="1">
      <alignment horizontal="center" vertical="center"/>
    </xf>
    <xf numFmtId="189" fontId="3" fillId="0" borderId="2" xfId="96" applyNumberFormat="1" applyFont="1" applyFill="1" applyBorder="1" applyAlignment="1">
      <alignment horizontal="center" vertical="center"/>
    </xf>
    <xf numFmtId="189" fontId="3" fillId="0" borderId="2" xfId="0" applyNumberFormat="1" applyFont="1" applyFill="1" applyBorder="1" applyAlignment="1">
      <alignment horizontal="center" vertical="center"/>
    </xf>
    <xf numFmtId="189" fontId="7" fillId="0" borderId="1" xfId="0" applyNumberFormat="1" applyFont="1" applyFill="1" applyBorder="1" applyAlignment="1">
      <alignment horizontal="left" vertical="center"/>
    </xf>
    <xf numFmtId="189" fontId="7" fillId="0" borderId="1" xfId="0" applyNumberFormat="1" applyFont="1" applyFill="1" applyBorder="1" applyAlignment="1">
      <alignment horizontal="center" vertical="center"/>
    </xf>
    <xf numFmtId="189" fontId="3" fillId="0" borderId="1" xfId="0" applyNumberFormat="1" applyFont="1" applyFill="1" applyBorder="1" applyAlignment="1">
      <alignment horizontal="left" vertical="center"/>
    </xf>
    <xf numFmtId="189" fontId="3" fillId="0" borderId="1" xfId="91" applyNumberFormat="1" applyFont="1" applyFill="1" applyBorder="1" applyAlignment="1">
      <alignment horizontal="center" vertical="center"/>
    </xf>
    <xf numFmtId="189" fontId="3" fillId="0" borderId="1" xfId="0" applyNumberFormat="1" applyFont="1" applyFill="1" applyBorder="1" applyAlignment="1">
      <alignment horizontal="center" vertical="center" shrinkToFit="1"/>
    </xf>
    <xf numFmtId="189" fontId="3" fillId="0" borderId="1" xfId="0" applyNumberFormat="1" applyFont="1" applyFill="1" applyBorder="1" applyAlignment="1">
      <alignment horizontal="left" vertical="center" shrinkToFit="1"/>
    </xf>
    <xf numFmtId="0" fontId="3" fillId="0" borderId="1" xfId="90" applyFont="1" applyFill="1" applyBorder="1" applyAlignment="1">
      <alignment horizontal="left" vertical="center"/>
    </xf>
    <xf numFmtId="178" fontId="3" fillId="0" borderId="1" xfId="90" applyNumberFormat="1" applyFont="1" applyFill="1" applyBorder="1" applyAlignment="1">
      <alignment horizontal="center" vertical="center"/>
    </xf>
    <xf numFmtId="189" fontId="5" fillId="0" borderId="1" xfId="91" applyNumberFormat="1" applyFont="1" applyFill="1" applyBorder="1" applyAlignment="1">
      <alignment horizontal="center" vertical="center"/>
    </xf>
    <xf numFmtId="2" fontId="3" fillId="0" borderId="1" xfId="90" applyNumberFormat="1" applyFont="1" applyFill="1" applyBorder="1" applyAlignment="1">
      <alignment horizontal="center" vertical="center" shrinkToFit="1"/>
    </xf>
    <xf numFmtId="178" fontId="5" fillId="0" borderId="1" xfId="91" applyNumberFormat="1" applyFont="1" applyFill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/>
    </xf>
    <xf numFmtId="189" fontId="5" fillId="0" borderId="1" xfId="59" applyNumberFormat="1" applyFont="1" applyFill="1" applyBorder="1" applyAlignment="1">
      <alignment horizontal="left" vertical="center"/>
    </xf>
    <xf numFmtId="2" fontId="5" fillId="0" borderId="1" xfId="21" applyNumberFormat="1" applyFont="1" applyFill="1" applyBorder="1" applyAlignment="1">
      <alignment horizontal="center" vertical="center" shrinkToFit="1"/>
    </xf>
    <xf numFmtId="189" fontId="5" fillId="0" borderId="1" xfId="59" applyNumberFormat="1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left" vertical="center"/>
    </xf>
    <xf numFmtId="0" fontId="5" fillId="0" borderId="1" xfId="59" applyFont="1" applyFill="1" applyBorder="1" applyAlignment="1">
      <alignment horizontal="left" vertical="center" wrapText="1"/>
    </xf>
    <xf numFmtId="189" fontId="5" fillId="0" borderId="1" xfId="59" applyNumberFormat="1" applyFont="1" applyFill="1" applyBorder="1" applyAlignment="1">
      <alignment horizontal="center" vertical="center" wrapText="1"/>
    </xf>
    <xf numFmtId="0" fontId="5" fillId="0" borderId="1" xfId="21" applyFont="1" applyFill="1" applyBorder="1" applyAlignment="1">
      <alignment horizontal="left" vertical="center"/>
    </xf>
    <xf numFmtId="178" fontId="5" fillId="0" borderId="1" xfId="21" applyNumberFormat="1" applyFont="1" applyFill="1" applyBorder="1" applyAlignment="1">
      <alignment horizontal="center" vertical="center"/>
    </xf>
    <xf numFmtId="189" fontId="3" fillId="0" borderId="1" xfId="39" applyNumberFormat="1" applyFont="1" applyFill="1" applyBorder="1" applyAlignment="1">
      <alignment horizontal="center" vertical="center"/>
    </xf>
    <xf numFmtId="189" fontId="11" fillId="0" borderId="0" xfId="0" applyNumberFormat="1" applyFont="1" applyFill="1" applyAlignment="1">
      <alignment horizontal="center" vertical="center"/>
    </xf>
    <xf numFmtId="186" fontId="11" fillId="0" borderId="0" xfId="0" applyNumberFormat="1" applyFont="1" applyFill="1" applyAlignment="1">
      <alignment horizontal="center" vertical="center"/>
    </xf>
    <xf numFmtId="186" fontId="12" fillId="0" borderId="0" xfId="0" applyNumberFormat="1" applyFont="1" applyFill="1" applyAlignment="1">
      <alignment horizontal="center" vertical="center"/>
    </xf>
    <xf numFmtId="189" fontId="12" fillId="0" borderId="0" xfId="0" applyNumberFormat="1" applyFont="1" applyFill="1" applyAlignment="1">
      <alignment horizontal="center" vertical="center"/>
    </xf>
    <xf numFmtId="186" fontId="3" fillId="0" borderId="0" xfId="0" applyNumberFormat="1" applyFont="1" applyFill="1" applyAlignment="1">
      <alignment horizontal="center" vertical="center"/>
    </xf>
    <xf numFmtId="186" fontId="3" fillId="0" borderId="1" xfId="0" applyNumberFormat="1" applyFont="1" applyFill="1" applyBorder="1" applyAlignment="1">
      <alignment horizontal="center" vertical="center" wrapText="1"/>
    </xf>
    <xf numFmtId="186" fontId="3" fillId="0" borderId="1" xfId="0" applyNumberFormat="1" applyFont="1" applyFill="1" applyBorder="1" applyAlignment="1">
      <alignment horizontal="center" vertical="center" shrinkToFit="1"/>
    </xf>
    <xf numFmtId="186" fontId="7" fillId="0" borderId="1" xfId="0" applyNumberFormat="1" applyFont="1" applyFill="1" applyBorder="1" applyAlignment="1">
      <alignment horizontal="center" vertical="center" shrinkToFit="1"/>
    </xf>
    <xf numFmtId="2" fontId="3" fillId="0" borderId="1" xfId="72" applyNumberFormat="1" applyFont="1" applyFill="1" applyBorder="1" applyAlignment="1">
      <alignment horizontal="center" vertical="center" shrinkToFit="1"/>
    </xf>
    <xf numFmtId="0" fontId="3" fillId="0" borderId="1" xfId="90" applyFont="1" applyFill="1" applyBorder="1" applyAlignment="1">
      <alignment horizontal="center" vertical="center"/>
    </xf>
    <xf numFmtId="2" fontId="3" fillId="0" borderId="1" xfId="90" applyNumberFormat="1" applyFont="1" applyFill="1" applyBorder="1" applyAlignment="1">
      <alignment horizontal="center" vertical="center" wrapText="1"/>
    </xf>
    <xf numFmtId="189" fontId="3" fillId="0" borderId="3" xfId="0" applyNumberFormat="1" applyFont="1" applyFill="1" applyBorder="1" applyAlignment="1">
      <alignment horizontal="center" vertical="center"/>
    </xf>
    <xf numFmtId="189" fontId="3" fillId="0" borderId="4" xfId="0" applyNumberFormat="1" applyFont="1" applyFill="1" applyBorder="1" applyAlignment="1">
      <alignment horizontal="center" vertical="center"/>
    </xf>
    <xf numFmtId="186" fontId="5" fillId="0" borderId="4" xfId="59" applyNumberFormat="1" applyFont="1" applyFill="1" applyBorder="1" applyAlignment="1">
      <alignment horizontal="center" vertical="center"/>
    </xf>
    <xf numFmtId="186" fontId="5" fillId="0" borderId="1" xfId="59" applyNumberFormat="1" applyFont="1" applyFill="1" applyBorder="1" applyAlignment="1">
      <alignment horizontal="center" vertical="center"/>
    </xf>
    <xf numFmtId="189" fontId="5" fillId="0" borderId="1" xfId="0" applyNumberFormat="1" applyFont="1" applyFill="1" applyBorder="1" applyAlignment="1">
      <alignment horizontal="center" vertical="center"/>
    </xf>
    <xf numFmtId="186" fontId="5" fillId="0" borderId="4" xfId="59" applyNumberFormat="1" applyFont="1" applyFill="1" applyBorder="1" applyAlignment="1">
      <alignment vertical="center" wrapText="1"/>
    </xf>
    <xf numFmtId="176" fontId="5" fillId="0" borderId="1" xfId="59" applyNumberFormat="1" applyFont="1" applyFill="1" applyBorder="1" applyAlignment="1">
      <alignment vertical="center" wrapText="1"/>
    </xf>
    <xf numFmtId="186" fontId="5" fillId="0" borderId="5" xfId="59" applyNumberFormat="1" applyFont="1" applyFill="1" applyBorder="1" applyAlignment="1">
      <alignment vertical="center"/>
    </xf>
    <xf numFmtId="189" fontId="5" fillId="0" borderId="5" xfId="59" applyNumberFormat="1" applyFont="1" applyFill="1" applyBorder="1" applyAlignment="1">
      <alignment vertical="center"/>
    </xf>
    <xf numFmtId="185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3" xfId="90" applyFont="1" applyFill="1" applyBorder="1" applyAlignment="1">
      <alignment horizontal="left" vertical="center"/>
    </xf>
    <xf numFmtId="0" fontId="3" fillId="0" borderId="4" xfId="90" applyFont="1" applyFill="1" applyBorder="1" applyAlignment="1">
      <alignment horizontal="left" vertical="center"/>
    </xf>
    <xf numFmtId="189" fontId="3" fillId="0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89" fontId="15" fillId="0" borderId="1" xfId="96" applyNumberFormat="1" applyFont="1" applyFill="1" applyBorder="1" applyAlignment="1">
      <alignment horizontal="center" vertical="center"/>
    </xf>
    <xf numFmtId="189" fontId="16" fillId="0" borderId="1" xfId="96" applyNumberFormat="1" applyFont="1" applyFill="1" applyBorder="1" applyAlignment="1">
      <alignment horizontal="left" vertical="center"/>
    </xf>
    <xf numFmtId="189" fontId="16" fillId="3" borderId="1" xfId="96" applyNumberFormat="1" applyFont="1" applyFill="1" applyBorder="1" applyAlignment="1">
      <alignment horizontal="left" vertical="center"/>
    </xf>
    <xf numFmtId="10" fontId="16" fillId="0" borderId="1" xfId="96" applyNumberFormat="1" applyFont="1" applyFill="1" applyBorder="1" applyAlignment="1">
      <alignment horizontal="left" vertical="center"/>
    </xf>
    <xf numFmtId="186" fontId="16" fillId="0" borderId="1" xfId="96" applyNumberFormat="1" applyFont="1" applyFill="1" applyBorder="1" applyAlignment="1">
      <alignment horizontal="left" vertical="center"/>
    </xf>
    <xf numFmtId="183" fontId="16" fillId="0" borderId="1" xfId="96" applyNumberFormat="1" applyFont="1" applyFill="1" applyBorder="1" applyAlignment="1">
      <alignment horizontal="left" vertical="center"/>
    </xf>
    <xf numFmtId="189" fontId="17" fillId="0" borderId="1" xfId="0" applyNumberFormat="1" applyFont="1" applyFill="1" applyBorder="1" applyAlignment="1">
      <alignment horizontal="center" vertical="center"/>
    </xf>
    <xf numFmtId="189" fontId="8" fillId="0" borderId="1" xfId="0" applyNumberFormat="1" applyFont="1" applyFill="1" applyBorder="1" applyAlignment="1">
      <alignment horizontal="center" vertical="center"/>
    </xf>
    <xf numFmtId="0" fontId="8" fillId="0" borderId="1" xfId="90" applyFont="1" applyFill="1" applyBorder="1" applyAlignment="1">
      <alignment horizontal="center" vertical="center"/>
    </xf>
    <xf numFmtId="189" fontId="17" fillId="0" borderId="1" xfId="9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5" fontId="17" fillId="0" borderId="0" xfId="0" applyNumberFormat="1" applyFont="1" applyFill="1" applyAlignment="1">
      <alignment horizontal="center" vertical="center"/>
    </xf>
    <xf numFmtId="189" fontId="17" fillId="0" borderId="0" xfId="0" applyNumberFormat="1" applyFont="1" applyFill="1" applyAlignment="1">
      <alignment horizontal="center" vertical="center"/>
    </xf>
    <xf numFmtId="186" fontId="17" fillId="0" borderId="0" xfId="0" applyNumberFormat="1" applyFont="1" applyFill="1" applyAlignment="1">
      <alignment horizontal="center" vertical="center"/>
    </xf>
    <xf numFmtId="185" fontId="18" fillId="0" borderId="0" xfId="0" applyNumberFormat="1" applyFont="1" applyFill="1" applyAlignment="1">
      <alignment horizontal="center" vertical="center"/>
    </xf>
    <xf numFmtId="189" fontId="18" fillId="0" borderId="0" xfId="0" applyNumberFormat="1" applyFont="1" applyFill="1" applyAlignment="1">
      <alignment horizontal="center" vertical="center"/>
    </xf>
    <xf numFmtId="189" fontId="19" fillId="0" borderId="0" xfId="0" applyNumberFormat="1" applyFont="1" applyFill="1" applyAlignment="1">
      <alignment horizontal="center" vertical="center"/>
    </xf>
    <xf numFmtId="185" fontId="16" fillId="0" borderId="0" xfId="0" applyNumberFormat="1" applyFont="1" applyFill="1" applyBorder="1" applyAlignment="1">
      <alignment horizontal="left" vertical="center"/>
    </xf>
    <xf numFmtId="189" fontId="16" fillId="0" borderId="0" xfId="0" applyNumberFormat="1" applyFont="1" applyFill="1" applyBorder="1" applyAlignment="1">
      <alignment horizontal="center" vertical="center"/>
    </xf>
    <xf numFmtId="185" fontId="16" fillId="0" borderId="1" xfId="0" applyNumberFormat="1" applyFont="1" applyFill="1" applyBorder="1" applyAlignment="1">
      <alignment horizontal="center" vertical="center"/>
    </xf>
    <xf numFmtId="189" fontId="16" fillId="0" borderId="1" xfId="0" applyNumberFormat="1" applyFont="1" applyFill="1" applyBorder="1" applyAlignment="1">
      <alignment horizontal="center" vertical="center"/>
    </xf>
    <xf numFmtId="189" fontId="16" fillId="0" borderId="1" xfId="0" applyNumberFormat="1" applyFont="1" applyFill="1" applyBorder="1" applyAlignment="1">
      <alignment horizontal="center" vertical="center" wrapText="1"/>
    </xf>
    <xf numFmtId="189" fontId="15" fillId="0" borderId="1" xfId="0" applyNumberFormat="1" applyFont="1" applyFill="1" applyBorder="1" applyAlignment="1">
      <alignment horizontal="left" vertical="center" shrinkToFit="1"/>
    </xf>
    <xf numFmtId="189" fontId="15" fillId="0" borderId="1" xfId="0" applyNumberFormat="1" applyFont="1" applyFill="1" applyBorder="1" applyAlignment="1">
      <alignment horizontal="center" vertical="center" shrinkToFit="1"/>
    </xf>
    <xf numFmtId="189" fontId="16" fillId="0" borderId="1" xfId="0" applyNumberFormat="1" applyFont="1" applyFill="1" applyBorder="1" applyAlignment="1">
      <alignment horizontal="center" vertical="center" shrinkToFit="1"/>
    </xf>
    <xf numFmtId="189" fontId="15" fillId="0" borderId="1" xfId="0" applyNumberFormat="1" applyFont="1" applyFill="1" applyBorder="1" applyAlignment="1">
      <alignment horizontal="center" vertical="center"/>
    </xf>
    <xf numFmtId="188" fontId="16" fillId="0" borderId="1" xfId="0" applyNumberFormat="1" applyFont="1" applyFill="1" applyBorder="1" applyAlignment="1">
      <alignment horizontal="center" vertical="center"/>
    </xf>
    <xf numFmtId="189" fontId="16" fillId="0" borderId="2" xfId="96" applyNumberFormat="1" applyFont="1" applyFill="1" applyBorder="1" applyAlignment="1">
      <alignment horizontal="left" vertical="center"/>
    </xf>
    <xf numFmtId="189" fontId="16" fillId="0" borderId="2" xfId="96" applyNumberFormat="1" applyFont="1" applyFill="1" applyBorder="1" applyAlignment="1">
      <alignment horizontal="center" vertical="center"/>
    </xf>
    <xf numFmtId="189" fontId="16" fillId="0" borderId="2" xfId="0" applyNumberFormat="1" applyFont="1" applyFill="1" applyBorder="1" applyAlignment="1">
      <alignment horizontal="center" vertical="center"/>
    </xf>
    <xf numFmtId="189" fontId="16" fillId="0" borderId="1" xfId="96" applyNumberFormat="1" applyFont="1" applyFill="1" applyBorder="1" applyAlignment="1">
      <alignment horizontal="center" vertical="center"/>
    </xf>
    <xf numFmtId="189" fontId="15" fillId="0" borderId="1" xfId="0" applyNumberFormat="1" applyFont="1" applyFill="1" applyBorder="1" applyAlignment="1">
      <alignment horizontal="left" vertical="center"/>
    </xf>
    <xf numFmtId="189" fontId="16" fillId="0" borderId="3" xfId="0" applyNumberFormat="1" applyFont="1" applyFill="1" applyBorder="1" applyAlignment="1">
      <alignment horizontal="center" vertical="center"/>
    </xf>
    <xf numFmtId="189" fontId="16" fillId="0" borderId="1" xfId="91" applyNumberFormat="1" applyFont="1" applyFill="1" applyBorder="1" applyAlignment="1">
      <alignment horizontal="center" vertical="center"/>
    </xf>
    <xf numFmtId="189" fontId="16" fillId="5" borderId="1" xfId="91" applyNumberFormat="1" applyFont="1" applyFill="1" applyBorder="1" applyAlignment="1">
      <alignment horizontal="center" vertical="center"/>
    </xf>
    <xf numFmtId="178" fontId="16" fillId="0" borderId="1" xfId="90" applyNumberFormat="1" applyFont="1" applyFill="1" applyBorder="1" applyAlignment="1">
      <alignment horizontal="center" vertical="center"/>
    </xf>
    <xf numFmtId="178" fontId="16" fillId="0" borderId="1" xfId="91" applyNumberFormat="1" applyFont="1" applyFill="1" applyBorder="1" applyAlignment="1">
      <alignment horizontal="center" vertical="center"/>
    </xf>
    <xf numFmtId="178" fontId="16" fillId="5" borderId="1" xfId="9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89" fontId="3" fillId="0" borderId="1" xfId="59" applyNumberFormat="1" applyFont="1" applyFill="1" applyBorder="1" applyAlignment="1">
      <alignment horizontal="left" vertical="center"/>
    </xf>
    <xf numFmtId="189" fontId="16" fillId="0" borderId="1" xfId="59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left" vertical="center"/>
    </xf>
    <xf numFmtId="2" fontId="16" fillId="5" borderId="1" xfId="0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left" vertical="center" wrapText="1"/>
    </xf>
    <xf numFmtId="189" fontId="16" fillId="0" borderId="1" xfId="59" applyNumberFormat="1" applyFont="1" applyFill="1" applyBorder="1" applyAlignment="1">
      <alignment horizontal="center" vertical="center" wrapText="1"/>
    </xf>
    <xf numFmtId="0" fontId="3" fillId="0" borderId="1" xfId="21" applyFont="1" applyFill="1" applyBorder="1" applyAlignment="1">
      <alignment horizontal="left" vertical="center"/>
    </xf>
    <xf numFmtId="178" fontId="16" fillId="0" borderId="1" xfId="21" applyNumberFormat="1" applyFont="1" applyFill="1" applyBorder="1" applyAlignment="1">
      <alignment horizontal="center" vertical="center"/>
    </xf>
    <xf numFmtId="189" fontId="16" fillId="0" borderId="1" xfId="39" applyNumberFormat="1" applyFont="1" applyFill="1" applyBorder="1" applyAlignment="1">
      <alignment horizontal="center" vertical="center"/>
    </xf>
    <xf numFmtId="185" fontId="15" fillId="0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186" fontId="19" fillId="0" borderId="0" xfId="0" applyNumberFormat="1" applyFont="1" applyFill="1" applyAlignment="1">
      <alignment horizontal="center" vertical="center"/>
    </xf>
    <xf numFmtId="186" fontId="20" fillId="0" borderId="0" xfId="0" applyNumberFormat="1" applyFont="1" applyFill="1" applyAlignment="1">
      <alignment horizontal="center" vertical="center"/>
    </xf>
    <xf numFmtId="186" fontId="16" fillId="0" borderId="0" xfId="0" applyNumberFormat="1" applyFont="1" applyFill="1" applyAlignment="1">
      <alignment horizontal="center" vertical="center"/>
    </xf>
    <xf numFmtId="186" fontId="16" fillId="0" borderId="1" xfId="0" applyNumberFormat="1" applyFont="1" applyFill="1" applyBorder="1" applyAlignment="1">
      <alignment horizontal="center" vertical="center"/>
    </xf>
    <xf numFmtId="186" fontId="16" fillId="0" borderId="1" xfId="0" applyNumberFormat="1" applyFont="1" applyFill="1" applyBorder="1" applyAlignment="1">
      <alignment horizontal="center" vertical="center" wrapText="1"/>
    </xf>
    <xf numFmtId="186" fontId="16" fillId="0" borderId="1" xfId="0" applyNumberFormat="1" applyFont="1" applyFill="1" applyBorder="1" applyAlignment="1">
      <alignment horizontal="center" vertical="center" shrinkToFit="1"/>
    </xf>
    <xf numFmtId="0" fontId="3" fillId="6" borderId="6" xfId="64" applyFont="1" applyFill="1" applyBorder="1" applyAlignment="1">
      <alignment horizontal="right" vertical="center" wrapText="1"/>
    </xf>
    <xf numFmtId="186" fontId="15" fillId="0" borderId="1" xfId="0" applyNumberFormat="1" applyFont="1" applyFill="1" applyBorder="1" applyAlignment="1">
      <alignment horizontal="center" vertical="center" shrinkToFit="1"/>
    </xf>
    <xf numFmtId="189" fontId="16" fillId="0" borderId="5" xfId="0" applyNumberFormat="1" applyFont="1" applyFill="1" applyBorder="1" applyAlignment="1">
      <alignment horizontal="center" vertical="center"/>
    </xf>
    <xf numFmtId="189" fontId="16" fillId="0" borderId="4" xfId="0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5" borderId="0" xfId="0" applyFill="1">
      <alignment vertical="center"/>
    </xf>
    <xf numFmtId="0" fontId="1" fillId="0" borderId="0" xfId="0" applyFont="1">
      <alignment vertical="center"/>
    </xf>
    <xf numFmtId="189" fontId="3" fillId="0" borderId="0" xfId="0" applyNumberFormat="1" applyFont="1" applyFill="1" applyAlignment="1">
      <alignment horizontal="center" vertical="center" shrinkToFit="1"/>
    </xf>
    <xf numFmtId="189" fontId="3" fillId="0" borderId="5" xfId="0" applyNumberFormat="1" applyFont="1" applyFill="1" applyBorder="1" applyAlignment="1">
      <alignment horizontal="left" vertical="center"/>
    </xf>
    <xf numFmtId="189" fontId="3" fillId="0" borderId="4" xfId="0" applyNumberFormat="1" applyFont="1" applyFill="1" applyBorder="1" applyAlignment="1">
      <alignment horizontal="left" vertical="center"/>
    </xf>
    <xf numFmtId="2" fontId="3" fillId="0" borderId="0" xfId="72" applyNumberFormat="1" applyFont="1" applyFill="1" applyAlignment="1">
      <alignment horizontal="center" vertical="center" shrinkToFit="1"/>
    </xf>
    <xf numFmtId="189" fontId="3" fillId="0" borderId="0" xfId="0" applyNumberFormat="1" applyFont="1" applyFill="1" applyAlignment="1">
      <alignment horizontal="left" vertical="center"/>
    </xf>
    <xf numFmtId="2" fontId="3" fillId="0" borderId="0" xfId="90" applyNumberFormat="1" applyFont="1" applyFill="1" applyAlignment="1">
      <alignment horizontal="center" vertical="center" wrapText="1"/>
    </xf>
    <xf numFmtId="189" fontId="5" fillId="0" borderId="0" xfId="0" applyNumberFormat="1" applyFont="1" applyFill="1" applyAlignment="1">
      <alignment horizontal="center" vertical="center"/>
    </xf>
    <xf numFmtId="0" fontId="3" fillId="0" borderId="0" xfId="90" applyFont="1" applyFill="1" applyAlignment="1">
      <alignment horizontal="center" vertical="center"/>
    </xf>
    <xf numFmtId="189" fontId="21" fillId="0" borderId="0" xfId="72" applyNumberFormat="1" applyFont="1" applyFill="1" applyBorder="1" applyAlignment="1">
      <alignment horizontal="left" vertical="center"/>
    </xf>
    <xf numFmtId="189" fontId="3" fillId="0" borderId="0" xfId="72" applyNumberFormat="1" applyFont="1" applyFill="1" applyBorder="1" applyAlignment="1">
      <alignment horizontal="left" vertical="center"/>
    </xf>
    <xf numFmtId="189" fontId="5" fillId="0" borderId="0" xfId="59" applyNumberFormat="1" applyFont="1" applyFill="1" applyAlignment="1">
      <alignment horizontal="left" vertical="center"/>
    </xf>
    <xf numFmtId="176" fontId="5" fillId="0" borderId="0" xfId="59" applyNumberFormat="1" applyFont="1" applyFill="1" applyAlignment="1">
      <alignment vertical="center" wrapText="1"/>
    </xf>
    <xf numFmtId="189" fontId="5" fillId="0" borderId="0" xfId="59" applyNumberFormat="1" applyFont="1" applyFill="1" applyAlignment="1">
      <alignment horizontal="center" vertical="center" shrinkToFit="1"/>
    </xf>
    <xf numFmtId="9" fontId="8" fillId="0" borderId="0" xfId="0" applyNumberFormat="1" applyFont="1" applyFill="1" applyAlignment="1">
      <alignment horizontal="center" vertical="center"/>
    </xf>
    <xf numFmtId="10" fontId="3" fillId="0" borderId="0" xfId="13" applyNumberFormat="1" applyFont="1" applyFill="1" applyAlignment="1">
      <alignment horizontal="center" vertical="center"/>
    </xf>
    <xf numFmtId="185" fontId="6" fillId="0" borderId="0" xfId="0" applyNumberFormat="1" applyFont="1" applyFill="1" applyAlignment="1">
      <alignment horizontal="center" vertical="center"/>
    </xf>
    <xf numFmtId="189" fontId="6" fillId="0" borderId="0" xfId="0" applyNumberFormat="1" applyFont="1" applyFill="1" applyAlignment="1">
      <alignment horizontal="center" vertical="center"/>
    </xf>
    <xf numFmtId="189" fontId="6" fillId="0" borderId="0" xfId="0" applyNumberFormat="1" applyFont="1" applyFill="1" applyBorder="1" applyAlignment="1">
      <alignment horizontal="center" vertical="center"/>
    </xf>
    <xf numFmtId="189" fontId="22" fillId="0" borderId="0" xfId="0" applyNumberFormat="1" applyFont="1" applyFill="1" applyAlignment="1">
      <alignment horizontal="center" vertical="center" shrinkToFit="1"/>
    </xf>
    <xf numFmtId="189" fontId="22" fillId="0" borderId="0" xfId="0" applyNumberFormat="1" applyFont="1" applyFill="1" applyBorder="1" applyAlignment="1">
      <alignment horizontal="center" vertical="center" shrinkToFit="1"/>
    </xf>
    <xf numFmtId="189" fontId="5" fillId="0" borderId="0" xfId="0" applyNumberFormat="1" applyFont="1" applyFill="1" applyAlignment="1">
      <alignment horizontal="left" vertical="center"/>
    </xf>
    <xf numFmtId="189" fontId="3" fillId="0" borderId="0" xfId="0" applyNumberFormat="1" applyFont="1" applyFill="1" applyAlignment="1">
      <alignment vertical="center"/>
    </xf>
    <xf numFmtId="178" fontId="3" fillId="0" borderId="0" xfId="90" applyNumberFormat="1" applyFont="1" applyFill="1" applyAlignment="1">
      <alignment horizontal="left" vertical="center"/>
    </xf>
    <xf numFmtId="2" fontId="3" fillId="0" borderId="0" xfId="90" applyNumberFormat="1" applyFont="1" applyFill="1" applyAlignment="1">
      <alignment horizontal="center" vertical="center"/>
    </xf>
    <xf numFmtId="189" fontId="8" fillId="0" borderId="1" xfId="0" applyNumberFormat="1" applyFont="1" applyFill="1" applyBorder="1" applyAlignment="1">
      <alignment horizontal="center" vertical="center" shrinkToFit="1"/>
    </xf>
    <xf numFmtId="183" fontId="8" fillId="0" borderId="1" xfId="0" applyNumberFormat="1" applyFont="1" applyFill="1" applyBorder="1" applyAlignment="1">
      <alignment horizontal="center" vertical="center"/>
    </xf>
    <xf numFmtId="186" fontId="6" fillId="0" borderId="0" xfId="0" applyNumberFormat="1" applyFont="1" applyFill="1" applyAlignment="1">
      <alignment horizontal="center" vertical="center"/>
    </xf>
    <xf numFmtId="186" fontId="6" fillId="0" borderId="0" xfId="0" applyNumberFormat="1" applyFont="1" applyFill="1" applyBorder="1" applyAlignment="1">
      <alignment horizontal="center" vertical="center"/>
    </xf>
    <xf numFmtId="186" fontId="22" fillId="0" borderId="0" xfId="0" applyNumberFormat="1" applyFont="1" applyFill="1" applyAlignment="1">
      <alignment horizontal="center" vertical="center" shrinkToFit="1"/>
    </xf>
    <xf numFmtId="189" fontId="5" fillId="0" borderId="0" xfId="13" applyNumberFormat="1" applyFont="1" applyFill="1" applyAlignment="1">
      <alignment horizontal="center" vertical="center"/>
    </xf>
    <xf numFmtId="186" fontId="3" fillId="0" borderId="0" xfId="0" applyNumberFormat="1" applyFont="1" applyFill="1" applyAlignment="1">
      <alignment horizontal="left" vertical="center"/>
    </xf>
    <xf numFmtId="186" fontId="5" fillId="0" borderId="0" xfId="0" applyNumberFormat="1" applyFont="1" applyFill="1" applyAlignment="1">
      <alignment horizontal="center" vertical="center"/>
    </xf>
    <xf numFmtId="186" fontId="3" fillId="0" borderId="0" xfId="0" applyNumberFormat="1" applyFont="1" applyFill="1" applyBorder="1" applyAlignment="1">
      <alignment horizontal="left" vertical="center"/>
    </xf>
    <xf numFmtId="186" fontId="5" fillId="0" borderId="0" xfId="13" applyNumberFormat="1" applyFont="1" applyFill="1" applyAlignment="1">
      <alignment horizontal="center" vertical="center"/>
    </xf>
    <xf numFmtId="186" fontId="8" fillId="0" borderId="1" xfId="0" applyNumberFormat="1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/>
    </xf>
    <xf numFmtId="186" fontId="8" fillId="0" borderId="1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89" fontId="8" fillId="0" borderId="1" xfId="13" applyNumberFormat="1" applyFont="1" applyFill="1" applyBorder="1" applyAlignment="1">
      <alignment horizontal="center" vertical="center"/>
    </xf>
    <xf numFmtId="189" fontId="8" fillId="0" borderId="1" xfId="91" applyNumberFormat="1" applyFont="1" applyFill="1" applyBorder="1" applyAlignment="1">
      <alignment horizontal="center" vertical="center"/>
    </xf>
    <xf numFmtId="189" fontId="8" fillId="0" borderId="1" xfId="0" applyNumberFormat="1" applyFont="1" applyFill="1" applyBorder="1" applyAlignment="1">
      <alignment vertical="center"/>
    </xf>
    <xf numFmtId="189" fontId="8" fillId="0" borderId="0" xfId="0" applyNumberFormat="1" applyFont="1" applyFill="1" applyBorder="1" applyAlignment="1">
      <alignment horizontal="center" vertical="center"/>
    </xf>
    <xf numFmtId="185" fontId="23" fillId="0" borderId="1" xfId="0" applyNumberFormat="1" applyFont="1" applyFill="1" applyBorder="1" applyAlignment="1">
      <alignment horizontal="center" vertical="center"/>
    </xf>
    <xf numFmtId="189" fontId="23" fillId="0" borderId="1" xfId="0" applyNumberFormat="1" applyFont="1" applyFill="1" applyBorder="1" applyAlignment="1">
      <alignment horizontal="center" vertical="center"/>
    </xf>
    <xf numFmtId="189" fontId="23" fillId="0" borderId="1" xfId="0" applyNumberFormat="1" applyFont="1" applyFill="1" applyBorder="1" applyAlignment="1">
      <alignment horizontal="center" vertical="center" shrinkToFit="1"/>
    </xf>
    <xf numFmtId="10" fontId="23" fillId="0" borderId="1" xfId="13" applyNumberFormat="1" applyFont="1" applyFill="1" applyBorder="1" applyAlignment="1">
      <alignment horizontal="center" vertical="center"/>
    </xf>
    <xf numFmtId="186" fontId="8" fillId="0" borderId="1" xfId="91" applyNumberFormat="1" applyFont="1" applyFill="1" applyBorder="1" applyAlignment="1">
      <alignment horizontal="center" vertical="center"/>
    </xf>
    <xf numFmtId="186" fontId="8" fillId="0" borderId="1" xfId="0" applyNumberFormat="1" applyFont="1" applyFill="1" applyBorder="1" applyAlignment="1">
      <alignment vertical="center"/>
    </xf>
    <xf numFmtId="10" fontId="8" fillId="0" borderId="1" xfId="13" applyNumberFormat="1" applyFont="1" applyFill="1" applyBorder="1" applyAlignment="1">
      <alignment horizontal="center" vertical="center"/>
    </xf>
    <xf numFmtId="186" fontId="8" fillId="0" borderId="1" xfId="13" applyNumberFormat="1" applyFont="1" applyFill="1" applyBorder="1" applyAlignment="1">
      <alignment horizontal="center" vertical="center"/>
    </xf>
    <xf numFmtId="2" fontId="8" fillId="0" borderId="1" xfId="91" applyNumberFormat="1" applyFont="1" applyFill="1" applyBorder="1" applyAlignment="1">
      <alignment horizontal="center" vertical="center"/>
    </xf>
    <xf numFmtId="186" fontId="8" fillId="0" borderId="0" xfId="0" applyNumberFormat="1" applyFont="1" applyFill="1" applyBorder="1" applyAlignment="1">
      <alignment horizontal="center" vertical="center"/>
    </xf>
    <xf numFmtId="186" fontId="3" fillId="0" borderId="1" xfId="13" applyNumberFormat="1" applyFont="1" applyFill="1" applyBorder="1" applyAlignment="1">
      <alignment horizontal="center" vertical="center"/>
    </xf>
    <xf numFmtId="185" fontId="3" fillId="0" borderId="0" xfId="0" applyNumberFormat="1" applyFont="1" applyFill="1" applyBorder="1" applyAlignment="1" quotePrefix="1">
      <alignment horizontal="left" vertical="center"/>
    </xf>
    <xf numFmtId="189" fontId="7" fillId="0" borderId="1" xfId="0" applyNumberFormat="1" applyFont="1" applyFill="1" applyBorder="1" applyAlignment="1" quotePrefix="1">
      <alignment horizontal="left" vertical="center" shrinkToFit="1"/>
    </xf>
    <xf numFmtId="189" fontId="3" fillId="0" borderId="1" xfId="0" applyNumberFormat="1" applyFont="1" applyFill="1" applyBorder="1" applyAlignment="1" quotePrefix="1">
      <alignment horizontal="left" vertical="center"/>
    </xf>
    <xf numFmtId="189" fontId="7" fillId="0" borderId="1" xfId="0" applyNumberFormat="1" applyFont="1" applyFill="1" applyBorder="1" applyAlignment="1" quotePrefix="1">
      <alignment horizontal="left" vertical="center"/>
    </xf>
    <xf numFmtId="185" fontId="16" fillId="0" borderId="0" xfId="0" applyNumberFormat="1" applyFont="1" applyFill="1" applyBorder="1" applyAlignment="1" quotePrefix="1">
      <alignment horizontal="left" vertical="center"/>
    </xf>
    <xf numFmtId="189" fontId="16" fillId="0" borderId="1" xfId="96" applyNumberFormat="1" applyFont="1" applyFill="1" applyBorder="1" applyAlignment="1" quotePrefix="1">
      <alignment horizontal="left" vertical="center"/>
    </xf>
  </cellXfs>
  <cellStyles count="9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Comma_8万吨调整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Currency_8万吨调整" xfId="11"/>
    <cellStyle name="超链接" xfId="12" builtinId="8"/>
    <cellStyle name="百分比" xfId="13" builtinId="5"/>
    <cellStyle name="已访问的超链接" xfId="14" builtinId="9"/>
    <cellStyle name="注释" xfId="15" builtinId="10"/>
    <cellStyle name="警告文本" xfId="16" builtinId="11"/>
    <cellStyle name="常规_（浇灌）" xfId="17"/>
    <cellStyle name="60% - 强调文字颜色 2" xfId="18" builtinId="36"/>
    <cellStyle name="标题 4" xfId="19" builtinId="19"/>
    <cellStyle name="标题" xfId="20" builtinId="15"/>
    <cellStyle name="常规 5 2" xfId="21"/>
    <cellStyle name="解释性文本" xfId="22" builtinId="53"/>
    <cellStyle name="好_6条路初设电气工程量 2" xfId="23"/>
    <cellStyle name="F5" xfId="24"/>
    <cellStyle name="常规 8" xfId="25"/>
    <cellStyle name="标题 1" xfId="26" builtinId="16"/>
    <cellStyle name="标题 2" xfId="27" builtinId="17"/>
    <cellStyle name="60% - 强调文字颜色 1" xfId="28" builtinId="32"/>
    <cellStyle name="差_6条路初设电气工程量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好_仁和南路电气工程量 2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F2" xfId="54"/>
    <cellStyle name="60% - 强调文字颜色 5" xfId="55" builtinId="48"/>
    <cellStyle name="强调文字颜色 6" xfId="56" builtinId="49"/>
    <cellStyle name="40% - 强调文字颜色 6" xfId="57" builtinId="51"/>
    <cellStyle name="F3" xfId="58"/>
    <cellStyle name="常规 2 3 2" xfId="59"/>
    <cellStyle name="60% - 强调文字颜色 6" xfId="60" builtinId="52"/>
    <cellStyle name="千位分隔_（浇灌）" xfId="61"/>
    <cellStyle name="超级链接_1#出水阀门井工程量计算表" xfId="62"/>
    <cellStyle name="千分位[0]_ 管配件" xfId="63"/>
    <cellStyle name="Normal" xfId="64"/>
    <cellStyle name="样式 1" xfId="65"/>
    <cellStyle name="F4" xfId="66"/>
    <cellStyle name="千位_laroux" xfId="67"/>
    <cellStyle name="差_仁和南路电气工程量" xfId="68"/>
    <cellStyle name="常规 3" xfId="69"/>
    <cellStyle name="常规 2 2" xfId="70"/>
    <cellStyle name="常规 2 4" xfId="71"/>
    <cellStyle name="常规 2 3" xfId="72"/>
    <cellStyle name="Normal_ 平面布置(土建)" xfId="73"/>
    <cellStyle name="后继超级链接_1#出水阀门井工程量计算表" xfId="74"/>
    <cellStyle name="F6" xfId="75"/>
    <cellStyle name="F8" xfId="76"/>
    <cellStyle name="F7" xfId="77"/>
    <cellStyle name="_老港固体废弃物综合利用基地内河工程工可估算总表" xfId="78"/>
    <cellStyle name="Comma [0]_8万吨调整" xfId="79"/>
    <cellStyle name="Currency [0]_8万吨调整" xfId="80"/>
    <cellStyle name="no dec" xfId="81"/>
    <cellStyle name="差_仁和南路电气工程量 2" xfId="82"/>
    <cellStyle name="常规 2" xfId="83"/>
    <cellStyle name="常规 3 2" xfId="84"/>
    <cellStyle name="常规 4" xfId="85"/>
    <cellStyle name="好_6条路初设电气工程量" xfId="86"/>
    <cellStyle name="差_6条路初设电气工程量 2" xfId="87"/>
    <cellStyle name="普通_ 费率" xfId="88"/>
    <cellStyle name="表格" xfId="89"/>
    <cellStyle name="常规 5" xfId="90"/>
    <cellStyle name="普通_QINGPU1" xfId="91"/>
    <cellStyle name="表格 2" xfId="92"/>
    <cellStyle name="普通O电气设备_平面布置,管配件" xfId="93"/>
    <cellStyle name="好 2" xfId="94"/>
    <cellStyle name="好_仁和南路电气工程量" xfId="95"/>
    <cellStyle name="普通_总表_1_施湾初总" xfId="96"/>
    <cellStyle name="千分位_ 管配件" xfId="97"/>
    <cellStyle name="千位[0]_laroux" xfId="9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</dxf>
    <dxf>
      <font>
        <color indexed="10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13.xml"/><Relationship Id="rId21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9.xml"/><Relationship Id="rId17" Type="http://schemas.openxmlformats.org/officeDocument/2006/relationships/externalLink" Target="externalLinks/externalLink8.xml"/><Relationship Id="rId16" Type="http://schemas.openxmlformats.org/officeDocument/2006/relationships/externalLink" Target="externalLinks/externalLink7.xml"/><Relationship Id="rId15" Type="http://schemas.openxmlformats.org/officeDocument/2006/relationships/externalLink" Target="externalLinks/externalLink6.xml"/><Relationship Id="rId14" Type="http://schemas.openxmlformats.org/officeDocument/2006/relationships/externalLink" Target="externalLinks/externalLink5.xml"/><Relationship Id="rId13" Type="http://schemas.openxmlformats.org/officeDocument/2006/relationships/externalLink" Target="externalLinks/externalLink4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85725</xdr:colOff>
      <xdr:row>19</xdr:row>
      <xdr:rowOff>66675</xdr:rowOff>
    </xdr:from>
    <xdr:to>
      <xdr:col>25</xdr:col>
      <xdr:colOff>28575</xdr:colOff>
      <xdr:row>28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493625" y="3571875"/>
          <a:ext cx="3371850" cy="148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&#26417;&#28459;&#33673;\&#28467;&#24030;&#20845;&#26465;&#36335;&#21450;&#20161;&#21644;&#21335;&#36335;\20150721&#20161;&#21644;&#21335;&#36335;&#21021;&#27493;&#35774;&#35745;&#65292;&#32418;&#32447;&#21464;&#31364;&#20462;&#25913;&#35774;&#35745;\2007&#24180;&#24037;&#31243;\02&#20108;&#29615;&#32447;\1#&#21464;&#35745;&#31639;&#2007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2015&#24180;05&#26376;20&#26085;\&#12304;&#31119;&#24314;&#12305;&#28467;&#24030;&#21488;&#21830;&#25237;&#36164;&#21306;&#20013;&#24515;&#22478;&#21306;&#24066;&#25919;&#37197;&#22871;&#24037;&#31243;&#65288;4km2&#36335;&#32593;&#65289;\20150721&#20161;&#21644;&#21335;&#36335;&#21021;&#27493;&#35774;&#35745;&#65292;&#32418;&#32447;&#21464;&#31364;&#20462;&#25913;&#35774;&#35745;&#65288;&#26368;&#32456;&#31295;&#22312;&#26417;&#28459;&#33673;&#65289;\&#26417;&#28459;&#33673;&#23436;&#25104;\&#22791;&#20221;\&#22791;&#20221;1\&#25307;&#25237;&#26631;\&#21494;&#27053;&#22616;&#27700;&#38392;&#25237;&#26631;\&#27700;&#21033;&#22522;&#30784;&#21333;&#20215;&#65288;&#21494;&#27053;&#22616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2&#21487;&#30740;\&#24191;&#20013;&#36335;&#27893;&#31449;\1&#39044;&#21487;&#30740;\WINDOWS\TEMP\SUPPLY-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&#34425;&#26725;\My%20Documents\&#21326;&#38738;&#36335;&#39030;&#31649;&#2011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2015&#24180;05&#26376;20&#26085;\&#12304;&#31119;&#24314;&#12305;&#28467;&#24030;&#21488;&#21830;&#25237;&#36164;&#21306;&#20013;&#24515;&#22478;&#21306;&#24066;&#25919;&#37197;&#22871;&#24037;&#31243;&#65288;4km2&#36335;&#32593;&#65289;\20150721&#20161;&#21644;&#21335;&#36335;&#21021;&#27493;&#35774;&#35745;&#65292;&#32418;&#32447;&#21464;&#31364;&#20462;&#25913;&#35774;&#35745;&#65288;&#26368;&#32456;&#31295;&#22312;&#26417;&#28459;&#33673;&#65289;\&#26417;&#28459;&#33673;&#23436;&#25104;\2&#21487;&#30740;\&#24191;&#20013;&#36335;&#27893;&#31449;\1&#39044;&#21487;&#30740;\WINDOWS\TEMP\SUPPLY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2015&#24180;05&#26376;20&#26085;\&#12304;&#31119;&#24314;&#12305;&#28467;&#24030;&#21488;&#21830;&#25237;&#36164;&#21306;&#20013;&#24515;&#22478;&#21306;&#24066;&#25919;&#37197;&#22871;&#24037;&#31243;&#65288;4km2&#36335;&#32593;&#65289;\20150721&#20161;&#21644;&#21335;&#36335;&#21021;&#27493;&#35774;&#35745;&#65292;&#32418;&#32447;&#21464;&#31364;&#20462;&#25913;&#35774;&#35745;&#65288;&#26368;&#32456;&#31295;&#22312;&#26417;&#28459;&#33673;&#65289;\&#26417;&#28459;&#33673;&#23436;&#25104;\&#24464;&#20806;&#19996;\&#21021;&#35774;\&#40644;&#28006;&#27743;&#24178;&#27969;&#26032;&#22686;&#38450;&#27946;&#24037;&#31243;A2&#26631;\&#27700;&#21033;&#22522;&#30784;&#21333;&#20215;&#65288;A2&#21021;&#3577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2015&#24180;05&#26376;20&#26085;\&#12304;&#31119;&#24314;&#12305;&#28467;&#24030;&#21488;&#21830;&#25237;&#36164;&#21306;&#20013;&#24515;&#22478;&#21306;&#24066;&#25919;&#37197;&#22871;&#24037;&#31243;&#65288;4km2&#36335;&#32593;&#65289;\20150721&#20161;&#21644;&#21335;&#36335;&#21021;&#27493;&#35774;&#35745;&#65292;&#32418;&#32447;&#21464;&#31364;&#20462;&#25913;&#35774;&#35745;&#65288;&#26368;&#32456;&#31295;&#22312;&#26417;&#28459;&#33673;&#65289;\&#26417;&#28459;&#33673;&#23436;&#25104;\2007&#24180;&#24037;&#31243;\02&#20108;&#29615;&#32447;\1#&#21464;&#35745;&#31639;&#2007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2015&#24180;05&#26376;20&#26085;\&#12304;&#31119;&#24314;&#12305;&#28467;&#24030;&#21488;&#21830;&#25237;&#36164;&#21306;&#20013;&#24515;&#22478;&#21306;&#24066;&#25919;&#37197;&#22871;&#24037;&#31243;&#65288;4km2&#36335;&#32593;&#65289;\20150721&#20161;&#21644;&#21335;&#36335;&#21021;&#27493;&#35774;&#35745;&#65292;&#32418;&#32447;&#21464;&#31364;&#20462;&#25913;&#35774;&#35745;&#65288;&#26368;&#32456;&#31295;&#22312;&#26417;&#28459;&#33673;&#65289;\&#26417;&#28459;&#33673;&#23436;&#25104;\2002file\&#30707;&#27934;&#21475;&#26631;&#20070;&#35745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Users\gaojixiang\AppData\Local\Microsoft\Windows\Temporary%20Internet%20Files\Content.IE5\UBGPPROK\ANALYSIS\REGRESS.XL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2002file\&#30707;&#27934;&#21475;&#26631;&#20070;&#35745;&#3163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2015&#24180;05&#26376;20&#26085;\&#12304;&#31119;&#24314;&#12305;&#28467;&#24030;&#21488;&#21830;&#25237;&#36164;&#21306;&#20013;&#24515;&#22478;&#21306;&#24066;&#25919;&#37197;&#22871;&#24037;&#31243;&#65288;4km2&#36335;&#32593;&#65289;\20150721&#20161;&#21644;&#21335;&#36335;&#21021;&#27493;&#35774;&#35745;&#65292;&#32418;&#32447;&#21464;&#31364;&#20462;&#25913;&#35774;&#35745;&#65288;&#26368;&#32456;&#31295;&#22312;&#26417;&#28459;&#33673;&#65289;\&#26417;&#28459;&#33673;&#23436;&#25104;\WINDOWS\TEMP\SUPPLY-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DOCUME~1\yuan_h.gys\LOCALS~1\Temp\user2005year\&#26477;&#24030;&#24066;&#22235;&#22561;&#21378;&#21453;&#21521;&#36755;&#36865;&#24037;&#31243;&#27010;&#31639;08\&#36755;&#36865;&#27893;&#25151;&#22303;&#243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8023;&#26376;&#24191;&#22330;&#22320;&#19979;&#20154;&#34892;&#36807;&#34903;&#36890;&#36947;&#21021;&#27010;2406-460200-04-01-736486\\yh\work\2008\&#37325;&#24198;&#27745;&#27700;&#24037;&#21487;\&#31119;&#27704;&#36130;&#21153;&#35780;&#202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"/>
      <sheetName val="J"/>
      <sheetName val="K"/>
      <sheetName val="L"/>
      <sheetName val="电缆统计"/>
      <sheetName val="一览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材料单价"/>
      <sheetName val="打印材料"/>
      <sheetName val="砼级配"/>
      <sheetName val="机械"/>
      <sheetName val="机械 (2)"/>
      <sheetName val="机械挖土"/>
      <sheetName val="汽车运土"/>
      <sheetName val="挖淤泥"/>
      <sheetName val="回填土"/>
      <sheetName val="节制闸混凝土"/>
      <sheetName val="素砼垫层"/>
      <sheetName val="碎石垫层1"/>
      <sheetName val="土工布"/>
      <sheetName val="浆砌块石护底"/>
      <sheetName val="素砼格梗"/>
      <sheetName val="防冲槽抛石"/>
      <sheetName val="抛石每增运1KM"/>
      <sheetName val="碎石排水棱体"/>
      <sheetName val="钢筋"/>
      <sheetName val="无纺布铺设"/>
      <sheetName val="机械压实回填"/>
      <sheetName val="三渣垫层 "/>
      <sheetName val="砼运输"/>
      <sheetName val="c25扶垛式挡土墙"/>
      <sheetName val="c25水闸底板"/>
      <sheetName val="c25直墙"/>
      <sheetName val="c25水闸底板2"/>
      <sheetName val="c25护坦"/>
      <sheetName val="c25悬臂式挡土墙墙"/>
      <sheetName val="混凝土预制桩"/>
      <sheetName val="船闸混凝土"/>
      <sheetName val="土围堰填筑"/>
      <sheetName val="土围堰拆除"/>
      <sheetName val="PVC排水管"/>
      <sheetName val="草土围堰填筑"/>
      <sheetName val="草土围堰拆除"/>
      <sheetName val="c30桥面铺装层"/>
      <sheetName val="沥青混凝土桥面铺装"/>
      <sheetName val="公路桥"/>
      <sheetName val="桥墩"/>
      <sheetName val="橡胶止水带"/>
      <sheetName val="橡胶护弦"/>
      <sheetName val="浆砌块石护坡"/>
      <sheetName val="c20混凝土护脚"/>
      <sheetName val="浆砌块石挡墙"/>
      <sheetName val="砂砾石基层"/>
      <sheetName val="沥青路面"/>
      <sheetName val="泥结碎石路面"/>
      <sheetName val="2"/>
      <sheetName val="3"/>
      <sheetName val="4"/>
      <sheetName val="5"/>
      <sheetName val="安装定额"/>
      <sheetName val="6"/>
      <sheetName val="7"/>
      <sheetName val="建筑概算"/>
      <sheetName val="机电设备"/>
      <sheetName val="金属结构"/>
      <sheetName val="总概算 "/>
      <sheetName val="临时工程"/>
      <sheetName val="其他费用"/>
      <sheetName val="材料用量"/>
      <sheetName val="闸设备费"/>
      <sheetName val="Sheet14"/>
      <sheetName val="Sheet15"/>
      <sheetName val="设计费"/>
      <sheetName val="sis.xlm"/>
      <sheetName val="REGRES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is.xlm"/>
      <sheetName val="analy"/>
      <sheetName val="Sheet2"/>
      <sheetName val="ANALYSIS"/>
      <sheetName val="Sheet1"/>
      <sheetName val="成本表"/>
      <sheetName val="全部流量"/>
      <sheetName val="国内流量"/>
      <sheetName val="损益表"/>
      <sheetName val="资金应用"/>
      <sheetName val="负债表"/>
      <sheetName val="借款表"/>
      <sheetName val="总表"/>
      <sheetName val="财务总表"/>
      <sheetName val="机械"/>
      <sheetName val="材料单价"/>
      <sheetName val="REGRESS"/>
      <sheetName val="分析总表"/>
      <sheetName val="结构"/>
      <sheetName val="投资"/>
      <sheetName val="清水池"/>
      <sheetName val="XLR_NoRangeShe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二沉池配水井"/>
      <sheetName val="16#"/>
      <sheetName val="17#"/>
      <sheetName val="18#"/>
      <sheetName val="sheet1"/>
      <sheetName val="Macro2"/>
      <sheetName val="V型滤池"/>
      <sheetName val="sis.xl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is.xlm"/>
      <sheetName val="analy"/>
      <sheetName val="Sheet2"/>
      <sheetName val="ANALYSIS"/>
      <sheetName val="Sheet1"/>
      <sheetName val="成本表"/>
      <sheetName val="全部流量"/>
      <sheetName val="国内流量"/>
      <sheetName val="损益表"/>
      <sheetName val="资金应用"/>
      <sheetName val="负债表"/>
      <sheetName val="借款表"/>
      <sheetName val="材料单价"/>
      <sheetName val="XLR_NoRangeSheet"/>
      <sheetName val="不许动（隐藏）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材料单价"/>
      <sheetName val="打印材料"/>
      <sheetName val="砼级配"/>
      <sheetName val="机械"/>
      <sheetName val="机械挖土"/>
      <sheetName val="汽车运土"/>
      <sheetName val="挖淤泥"/>
      <sheetName val="回填土(筑坝）"/>
      <sheetName val="回填土"/>
      <sheetName val="节制闸混凝土"/>
      <sheetName val="素砼垫层"/>
      <sheetName val="碎石垫层1"/>
      <sheetName val="土工布"/>
      <sheetName val="浆砌块石护底"/>
      <sheetName val="灌砌块石护底 "/>
      <sheetName val="灌砌块石护坡"/>
      <sheetName val="素砼格梗"/>
      <sheetName val="防冲槽抛石"/>
      <sheetName val="抛石每增运1KM"/>
      <sheetName val="碎石排水棱体"/>
      <sheetName val="钢筋"/>
      <sheetName val="无纺布铺设"/>
      <sheetName val="机械压实回填"/>
      <sheetName val="三渣垫层 "/>
      <sheetName val="砼运输"/>
      <sheetName val="c25扶垛式挡土墙"/>
      <sheetName val="c25水闸底板"/>
      <sheetName val="c30水闸底板"/>
      <sheetName val="c25胸墙"/>
      <sheetName val="c25直墙"/>
      <sheetName val="c30直墙"/>
      <sheetName val="c25水闸底板2"/>
      <sheetName val="c25护坦"/>
      <sheetName val="c25悬臂式挡土墙墙"/>
      <sheetName val="混凝土预制桩 &lt;=10米"/>
      <sheetName val="混凝土预制桩&gt;10米"/>
      <sheetName val="打预制桩"/>
      <sheetName val="灌注砼"/>
      <sheetName val="船闸混凝土"/>
      <sheetName val="土围堰填筑"/>
      <sheetName val="土围堰拆除"/>
      <sheetName val="伸缩缝"/>
      <sheetName val="橡胶护弦"/>
      <sheetName val="橡胶伸缩缝 "/>
      <sheetName val="PVC排水管"/>
      <sheetName val="草土围堰填筑"/>
      <sheetName val="草土围堰拆除"/>
      <sheetName val="钢板桩围堰"/>
      <sheetName val="钢板桩围堰 (堰高加1米)"/>
      <sheetName val="钢板桩围堰 (桩入土加1米) "/>
      <sheetName val="浆砌块石护坡"/>
      <sheetName val="c20混凝土护脚"/>
      <sheetName val="c25混凝土护脚 "/>
      <sheetName val="浆砌块石挡墙"/>
      <sheetName val="砂砾石基层(15)"/>
      <sheetName val="砂砾石基层(20)"/>
      <sheetName val="混凝土路面(20)"/>
      <sheetName val="混凝土路面(15)"/>
      <sheetName val="沥青路面5"/>
      <sheetName val="沥青路面4"/>
      <sheetName val="沥青碎石"/>
      <sheetName val="泥结碎石路面"/>
      <sheetName val="拆除浆砌块石"/>
      <sheetName val="拆除砖结构"/>
      <sheetName val="拆除钢砼结构"/>
      <sheetName val="c30桥面铺装层"/>
      <sheetName val="预制空心板"/>
      <sheetName val="闸墩"/>
      <sheetName val="桥墩"/>
      <sheetName val="楼梯"/>
      <sheetName val="公路桥"/>
      <sheetName val="工作桥"/>
      <sheetName val="安装定额"/>
      <sheetName val="A1型"/>
      <sheetName val="A2型"/>
      <sheetName val="A3型 "/>
      <sheetName val="A4型 "/>
      <sheetName val="A5型 "/>
      <sheetName val="A6型 "/>
      <sheetName val="A7型 "/>
      <sheetName val="H1型"/>
      <sheetName val="H2型 "/>
      <sheetName val="H3型"/>
      <sheetName val="H4型 "/>
      <sheetName val="A型"/>
      <sheetName val="防汛通道"/>
      <sheetName val="建筑概算(黄浦江)"/>
      <sheetName val="建筑概算(春申塘) "/>
      <sheetName val="建筑概算(六磊塘)"/>
      <sheetName val="建筑概算(俞塘)"/>
      <sheetName val="建筑概算(北横泾) "/>
      <sheetName val="建筑概算(北竹港)"/>
      <sheetName val="建筑概算(北沙港)"/>
      <sheetName val="建筑概算(淀浦河)"/>
      <sheetName val="泵闸(华泾港)1"/>
      <sheetName val="泵闸(工农河)2"/>
      <sheetName val="泵闸(铁路河)3"/>
      <sheetName val="节制闸(六磊塘)4"/>
      <sheetName val="节制闸(俞塘)5"/>
      <sheetName val="节制闸(北横泾)6"/>
      <sheetName val="泵涵闸(和尚浜)7 "/>
      <sheetName val="套闸(北沙港)8"/>
      <sheetName val="节制闸(北竹港)9"/>
      <sheetName val="泵涵闸(华泾浜)10"/>
      <sheetName val="节制闸(塘泗泾) 11"/>
      <sheetName val="节制闸(曹家港)12"/>
      <sheetName val="加高加固(梅陇港)"/>
      <sheetName val="加高加固(横沥港南)"/>
      <sheetName val="加高加固(横沥港北)"/>
      <sheetName val="加高加固(新泾港)"/>
      <sheetName val="加高加固(淀浦河东)"/>
      <sheetName val="机电设备 (2)"/>
      <sheetName val="机电设备"/>
      <sheetName val="金属结构"/>
      <sheetName val="金属结构 (2)"/>
      <sheetName val="总概算 "/>
      <sheetName val="临时工程"/>
      <sheetName val="其他费用"/>
      <sheetName val="材料用量"/>
      <sheetName val="设备费"/>
      <sheetName val="设计费"/>
      <sheetName val="主要工程数量及"/>
      <sheetName val="Sheet1"/>
      <sheetName val="征租地"/>
      <sheetName val="材料"/>
      <sheetName val="设计费 (2)"/>
      <sheetName val="sis.xl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"/>
      <sheetName val="J"/>
      <sheetName val="K"/>
      <sheetName val="L"/>
      <sheetName val="电缆统计"/>
      <sheetName val="一览表"/>
      <sheetName val="sheet1"/>
      <sheetName val="sis.xlm"/>
      <sheetName val="REGRESS"/>
      <sheetName val="机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细格栅"/>
      <sheetName val="配水渠道"/>
      <sheetName val="出水泵房"/>
      <sheetName val="电缆隧道"/>
      <sheetName val="电缆隧道（总量）"/>
      <sheetName val="电缆沟"/>
      <sheetName val="电缆沟（总量）"/>
      <sheetName val="风道"/>
      <sheetName val="风道（总量）"/>
      <sheetName val="sheet1"/>
      <sheetName val="石洞口标书计算"/>
      <sheetName val="REGRESS"/>
      <sheetName val="材料单价"/>
      <sheetName val="C"/>
    </sheetNames>
    <definedNames>
      <definedName name="a"/>
      <definedName name="aa"/>
      <definedName name="as"/>
      <definedName name="B"/>
      <definedName name="cc"/>
      <definedName name="ccc"/>
      <definedName name="cccc"/>
      <definedName name="ccccc"/>
      <definedName name="ccccccc"/>
      <definedName name="gh"/>
      <definedName name="ghh"/>
      <definedName name="hh"/>
      <definedName name="hj"/>
      <definedName name="io"/>
      <definedName name="jk"/>
      <definedName name="jkl"/>
      <definedName name="liu"/>
      <definedName name="lui"/>
      <definedName name="poio"/>
      <definedName name="q"/>
      <definedName name="s"/>
      <definedName name="x"/>
      <definedName name="xx"/>
      <definedName name="yuo"/>
      <definedName name="z"/>
      <definedName name="zx"/>
      <definedName name="zz"/>
      <definedName name="池"/>
      <definedName name="池池"/>
      <definedName name="池池池"/>
      <definedName name="二"/>
      <definedName name="二泵设备底稿"/>
      <definedName name="起"/>
      <definedName name="清"/>
      <definedName name="清水池管配件"/>
      <definedName name="市场价"/>
      <definedName name="数据查询"/>
      <definedName name="数据库管理"/>
      <definedName name="土方工程"/>
      <definedName name="一"/>
      <definedName name="有机肥生产车间"/>
      <definedName name="圆形构筑物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GRESS"/>
      <sheetName val="sheet1"/>
      <sheetName val="sis.xlm"/>
      <sheetName val="XLR_NoRangeSheet"/>
      <sheetName val="C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细格栅"/>
      <sheetName val="配水渠道"/>
      <sheetName val="出水泵房"/>
      <sheetName val="电缆隧道"/>
      <sheetName val="电缆隧道（总量）"/>
      <sheetName val="电缆沟"/>
      <sheetName val="电缆沟（总量）"/>
      <sheetName val="风道"/>
      <sheetName val="风道（总量）"/>
      <sheetName val="sheet1"/>
      <sheetName val="sis.xlm"/>
      <sheetName val="沉淀池"/>
      <sheetName val="材料单价"/>
      <sheetName val="V型滤池"/>
      <sheetName val="C"/>
      <sheetName val="总表"/>
      <sheetName val="RE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is.xlm"/>
      <sheetName val="analy"/>
      <sheetName val="Sheet2"/>
      <sheetName val="ANALYSIS"/>
      <sheetName val="Sheet1"/>
      <sheetName val="成本表"/>
      <sheetName val="全部流量"/>
      <sheetName val="国内流量"/>
      <sheetName val="损益表"/>
      <sheetName val="资金应用"/>
      <sheetName val="负债表"/>
      <sheetName val="借款表"/>
      <sheetName val="REGRESS"/>
      <sheetName val="XLR_NoRangeSheet"/>
      <sheetName val="C"/>
      <sheetName val="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输送泵房土建"/>
      <sheetName val="XLR_NoRangeSheet"/>
      <sheetName val="sheet1"/>
      <sheetName val="REGRESS"/>
      <sheetName val="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利息"/>
      <sheetName val="流动资金"/>
      <sheetName val="成本"/>
      <sheetName val="年成本分析"/>
      <sheetName val="现金流量"/>
      <sheetName val="资本金现金流量"/>
      <sheetName val="损益表"/>
      <sheetName val="财务计划"/>
      <sheetName val="资产负债"/>
      <sheetName val="借款偿还"/>
      <sheetName val="财务指标"/>
      <sheetName val="敏感分析1"/>
      <sheetName val="资金来源运用"/>
      <sheetName val="XLR_NoRangeSheet"/>
      <sheetName val="材料单价"/>
      <sheetName val="土建"/>
      <sheetName val="C"/>
      <sheetName val="sis.xlm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R156"/>
  <sheetViews>
    <sheetView showGridLines="0" showZeros="0" topLeftCell="B1" workbookViewId="0">
      <pane xSplit="1" ySplit="5" topLeftCell="C143" activePane="bottomRight" state="frozen"/>
      <selection/>
      <selection pane="topRight"/>
      <selection pane="bottomLeft"/>
      <selection pane="bottomRight" activeCell="D153" sqref="D153:E156"/>
    </sheetView>
  </sheetViews>
  <sheetFormatPr defaultColWidth="9" defaultRowHeight="18" customHeight="1"/>
  <cols>
    <col min="1" max="1" width="9" style="30"/>
    <col min="2" max="2" width="5.50833333333333" style="31" customWidth="1"/>
    <col min="3" max="3" width="32.5083333333333" style="30" customWidth="1"/>
    <col min="4" max="4" width="10.1333333333333" style="30" customWidth="1"/>
    <col min="5" max="5" width="8.50833333333333" style="30" customWidth="1"/>
    <col min="6" max="6" width="9.13333333333333" style="30" customWidth="1"/>
    <col min="7" max="8" width="9.88333333333333" style="30" customWidth="1"/>
    <col min="9" max="9" width="7.38333333333333" style="30" customWidth="1"/>
    <col min="10" max="10" width="8.88333333333333" style="32" customWidth="1"/>
    <col min="11" max="11" width="10.3833333333333" style="32" customWidth="1"/>
    <col min="12" max="12" width="18.6333333333333" style="30" customWidth="1"/>
    <col min="13" max="13" width="9" style="30" customWidth="1"/>
    <col min="14" max="14" width="12.75" style="30" customWidth="1"/>
    <col min="15" max="15" width="22.1333333333333" style="30" customWidth="1"/>
    <col min="16" max="16" width="10" style="30" customWidth="1"/>
    <col min="17" max="17" width="10.5083333333333" style="30" customWidth="1"/>
    <col min="18" max="18" width="12.75" style="30" customWidth="1"/>
    <col min="19" max="16384" width="9" style="30"/>
  </cols>
  <sheetData>
    <row r="1" s="24" customFormat="1" ht="27" customHeight="1" spans="2:12">
      <c r="B1" s="33" t="s">
        <v>0</v>
      </c>
      <c r="C1" s="34"/>
      <c r="D1" s="34"/>
      <c r="E1" s="34"/>
      <c r="F1" s="34"/>
      <c r="G1" s="34"/>
      <c r="H1" s="34"/>
      <c r="I1" s="66"/>
      <c r="J1" s="67"/>
      <c r="K1" s="68"/>
      <c r="L1" s="69"/>
    </row>
    <row r="2" s="24" customFormat="1" customHeight="1" spans="2:11">
      <c r="B2" s="215" t="s">
        <v>1</v>
      </c>
      <c r="C2" s="36"/>
      <c r="D2" s="36"/>
      <c r="E2" s="36"/>
      <c r="F2" s="36"/>
      <c r="G2" s="36"/>
      <c r="H2" s="36"/>
      <c r="I2" s="36"/>
      <c r="J2" s="70"/>
      <c r="K2" s="70"/>
    </row>
    <row r="3" s="24" customFormat="1" ht="20.25" customHeight="1" spans="2:13">
      <c r="B3" s="37" t="s">
        <v>2</v>
      </c>
      <c r="C3" s="6" t="s">
        <v>3</v>
      </c>
      <c r="D3" s="6" t="s">
        <v>4</v>
      </c>
      <c r="E3" s="6"/>
      <c r="F3" s="6"/>
      <c r="G3" s="6"/>
      <c r="H3" s="6"/>
      <c r="I3" s="6" t="s">
        <v>5</v>
      </c>
      <c r="J3" s="21"/>
      <c r="K3" s="21"/>
      <c r="L3" s="6" t="s">
        <v>6</v>
      </c>
      <c r="M3" s="24" t="s">
        <v>7</v>
      </c>
    </row>
    <row r="4" s="24" customFormat="1" ht="25.5" customHeight="1" spans="2:17">
      <c r="B4" s="37"/>
      <c r="C4" s="6"/>
      <c r="D4" s="38" t="s">
        <v>8</v>
      </c>
      <c r="E4" s="38" t="s">
        <v>9</v>
      </c>
      <c r="F4" s="38" t="s">
        <v>10</v>
      </c>
      <c r="G4" s="38" t="s">
        <v>11</v>
      </c>
      <c r="H4" s="38" t="s">
        <v>12</v>
      </c>
      <c r="I4" s="38" t="s">
        <v>13</v>
      </c>
      <c r="J4" s="71" t="s">
        <v>14</v>
      </c>
      <c r="K4" s="71" t="s">
        <v>15</v>
      </c>
      <c r="L4" s="6"/>
      <c r="N4" s="24" t="s">
        <v>16</v>
      </c>
      <c r="P4" s="24" t="s">
        <v>17</v>
      </c>
      <c r="Q4" s="24" t="s">
        <v>18</v>
      </c>
    </row>
    <row r="5" s="24" customFormat="1" customHeight="1" spans="2:18">
      <c r="B5" s="37"/>
      <c r="C5" s="39" t="s">
        <v>19</v>
      </c>
      <c r="D5" s="40">
        <f>SUM(D6:D16)</f>
        <v>2396.233321</v>
      </c>
      <c r="E5" s="40">
        <v>0</v>
      </c>
      <c r="F5" s="40">
        <v>0</v>
      </c>
      <c r="G5" s="40">
        <v>0</v>
      </c>
      <c r="H5" s="40">
        <f>+SUBTOTAL(9,H6:H16)</f>
        <v>2396.233321</v>
      </c>
      <c r="I5" s="49"/>
      <c r="J5" s="72"/>
      <c r="K5" s="72"/>
      <c r="L5" s="49"/>
      <c r="P5" s="25">
        <f>+SUBTOTAL(9,P6:P15)</f>
        <v>2067.6548</v>
      </c>
      <c r="Q5" s="25">
        <f t="shared" ref="Q5:Q13" si="0">H5-P5</f>
        <v>328.578521</v>
      </c>
      <c r="R5" s="176">
        <f>Q5/H5</f>
        <v>0.137122924600213</v>
      </c>
    </row>
    <row r="6" s="24" customFormat="1" customHeight="1" spans="2:17">
      <c r="B6" s="37" t="s">
        <v>20</v>
      </c>
      <c r="C6" s="41" t="s">
        <v>21</v>
      </c>
      <c r="D6" s="40"/>
      <c r="E6" s="40"/>
      <c r="F6" s="40"/>
      <c r="G6" s="40"/>
      <c r="H6" s="40">
        <f>+SUBTOTAL(9,H7:H10)</f>
        <v>537.00726</v>
      </c>
      <c r="I6" s="40" t="s">
        <v>22</v>
      </c>
      <c r="J6" s="73">
        <v>5278.35</v>
      </c>
      <c r="K6" s="73">
        <f>H6*10000/J6</f>
        <v>1017.37713490011</v>
      </c>
      <c r="L6" s="49"/>
      <c r="N6" s="24">
        <v>5370072.6</v>
      </c>
      <c r="O6" s="41" t="s">
        <v>21</v>
      </c>
      <c r="P6" s="25">
        <f>+SUBTOTAL(9,P7:P10)</f>
        <v>301.42</v>
      </c>
      <c r="Q6" s="25">
        <f t="shared" si="0"/>
        <v>235.58726</v>
      </c>
    </row>
    <row r="7" s="24" customFormat="1" customHeight="1" spans="2:17">
      <c r="B7" s="37">
        <v>1</v>
      </c>
      <c r="C7" s="23" t="s">
        <v>23</v>
      </c>
      <c r="D7" s="42">
        <f t="shared" ref="D7:D9" si="1">N7/10000</f>
        <v>386.448058</v>
      </c>
      <c r="E7" s="43"/>
      <c r="F7" s="43"/>
      <c r="G7" s="44"/>
      <c r="H7" s="44">
        <f t="shared" ref="H7:H9" si="2">SUM(D7:G7)</f>
        <v>386.448058</v>
      </c>
      <c r="I7" s="6" t="s">
        <v>22</v>
      </c>
      <c r="J7" s="72">
        <v>5278.35</v>
      </c>
      <c r="K7" s="21">
        <f t="shared" ref="K7:K9" si="3">H7/J7*10000</f>
        <v>732.137993880663</v>
      </c>
      <c r="L7" s="49"/>
      <c r="N7" s="24">
        <v>3864480.58</v>
      </c>
      <c r="O7" s="23" t="s">
        <v>23</v>
      </c>
      <c r="P7" s="24">
        <v>252.33</v>
      </c>
      <c r="Q7" s="24">
        <f t="shared" si="0"/>
        <v>134.118058</v>
      </c>
    </row>
    <row r="8" s="24" customFormat="1" customHeight="1" spans="2:17">
      <c r="B8" s="37">
        <v>2</v>
      </c>
      <c r="C8" s="23" t="s">
        <v>24</v>
      </c>
      <c r="D8" s="42">
        <f t="shared" si="1"/>
        <v>67.799136</v>
      </c>
      <c r="E8" s="43"/>
      <c r="F8" s="43"/>
      <c r="G8" s="44"/>
      <c r="H8" s="44">
        <f t="shared" si="2"/>
        <v>67.799136</v>
      </c>
      <c r="I8" s="6" t="s">
        <v>22</v>
      </c>
      <c r="J8" s="72">
        <v>5278.35</v>
      </c>
      <c r="K8" s="21">
        <f t="shared" si="3"/>
        <v>128.44759441871</v>
      </c>
      <c r="L8" s="49"/>
      <c r="N8" s="24">
        <v>677991.36</v>
      </c>
      <c r="O8" s="23" t="s">
        <v>24</v>
      </c>
      <c r="P8" s="24">
        <v>11.96</v>
      </c>
      <c r="Q8" s="24">
        <f t="shared" si="0"/>
        <v>55.839136</v>
      </c>
    </row>
    <row r="9" s="24" customFormat="1" customHeight="1" spans="2:17">
      <c r="B9" s="37">
        <v>3</v>
      </c>
      <c r="C9" s="23" t="s">
        <v>25</v>
      </c>
      <c r="D9" s="42">
        <f t="shared" si="1"/>
        <v>2.413729</v>
      </c>
      <c r="E9" s="43"/>
      <c r="F9" s="43"/>
      <c r="G9" s="44"/>
      <c r="H9" s="44">
        <f t="shared" si="2"/>
        <v>2.413729</v>
      </c>
      <c r="I9" s="6" t="s">
        <v>22</v>
      </c>
      <c r="J9" s="72">
        <v>5278.35</v>
      </c>
      <c r="K9" s="21">
        <f t="shared" si="3"/>
        <v>4.5728854661021</v>
      </c>
      <c r="L9" s="49"/>
      <c r="N9" s="24">
        <v>24137.29</v>
      </c>
      <c r="O9" s="23" t="s">
        <v>25</v>
      </c>
      <c r="P9" s="24">
        <v>4.9</v>
      </c>
      <c r="Q9" s="24">
        <f t="shared" si="0"/>
        <v>-2.486271</v>
      </c>
    </row>
    <row r="10" s="24" customFormat="1" customHeight="1" spans="2:17">
      <c r="B10" s="37">
        <v>4</v>
      </c>
      <c r="C10" s="23" t="s">
        <v>26</v>
      </c>
      <c r="D10" s="42">
        <f t="shared" ref="D10" si="4">N10/10000</f>
        <v>80.346337</v>
      </c>
      <c r="E10" s="43"/>
      <c r="F10" s="43"/>
      <c r="G10" s="44"/>
      <c r="H10" s="44">
        <f t="shared" ref="H10" si="5">SUM(D10:G10)</f>
        <v>80.346337</v>
      </c>
      <c r="I10" s="6" t="s">
        <v>22</v>
      </c>
      <c r="J10" s="72">
        <v>5278.35</v>
      </c>
      <c r="K10" s="21">
        <f t="shared" ref="K10" si="6">H10/J10*10000</f>
        <v>152.218661134635</v>
      </c>
      <c r="L10" s="49"/>
      <c r="N10" s="24">
        <v>803463.37</v>
      </c>
      <c r="O10" s="23" t="s">
        <v>26</v>
      </c>
      <c r="P10" s="24">
        <v>32.23</v>
      </c>
      <c r="Q10" s="24">
        <f t="shared" ref="Q10" si="7">H10-P10</f>
        <v>48.116337</v>
      </c>
    </row>
    <row r="11" s="24" customFormat="1" customHeight="1" spans="2:17">
      <c r="B11" s="37" t="s">
        <v>27</v>
      </c>
      <c r="C11" s="41" t="s">
        <v>28</v>
      </c>
      <c r="D11" s="40"/>
      <c r="E11" s="40"/>
      <c r="F11" s="40"/>
      <c r="G11" s="40"/>
      <c r="H11" s="40">
        <f>+SUBTOTAL(9,H12:H15)</f>
        <v>1859.226061</v>
      </c>
      <c r="I11" s="40" t="s">
        <v>22</v>
      </c>
      <c r="J11" s="73">
        <f>J12+J13</f>
        <v>1093.32</v>
      </c>
      <c r="K11" s="73">
        <f>H11*10000/J11</f>
        <v>17005.3237935828</v>
      </c>
      <c r="L11" s="49"/>
      <c r="N11" s="24">
        <v>18592260.61</v>
      </c>
      <c r="O11" s="41" t="s">
        <v>28</v>
      </c>
      <c r="P11" s="25">
        <f>+SUBTOTAL(9,P12:P15)</f>
        <v>1766.2348</v>
      </c>
      <c r="Q11" s="25">
        <f t="shared" si="0"/>
        <v>92.9912610000001</v>
      </c>
    </row>
    <row r="12" s="24" customFormat="1" customHeight="1" spans="2:17">
      <c r="B12" s="37">
        <v>1</v>
      </c>
      <c r="C12" s="5" t="s">
        <v>29</v>
      </c>
      <c r="D12" s="42">
        <f>N12/10000</f>
        <v>263.642762</v>
      </c>
      <c r="E12" s="42"/>
      <c r="F12" s="42"/>
      <c r="G12" s="42"/>
      <c r="H12" s="44">
        <f>SUM(D12:G12)</f>
        <v>263.642762</v>
      </c>
      <c r="I12" s="6" t="s">
        <v>22</v>
      </c>
      <c r="J12" s="72">
        <f>7.9*11+6.2*10.1+9.8*11</f>
        <v>257.32</v>
      </c>
      <c r="K12" s="21">
        <f>H12/J12*10000</f>
        <v>10245.7159179232</v>
      </c>
      <c r="L12" s="49"/>
      <c r="N12" s="24">
        <v>2636427.62</v>
      </c>
      <c r="O12" s="5" t="s">
        <v>29</v>
      </c>
      <c r="P12" s="24">
        <v>237.46</v>
      </c>
      <c r="Q12" s="24">
        <f t="shared" si="0"/>
        <v>26.182762</v>
      </c>
    </row>
    <row r="13" s="24" customFormat="1" customHeight="1" spans="2:17">
      <c r="B13" s="37">
        <v>2</v>
      </c>
      <c r="C13" s="23" t="s">
        <v>30</v>
      </c>
      <c r="D13" s="42">
        <f>N13/10000</f>
        <v>992.250858</v>
      </c>
      <c r="E13" s="43"/>
      <c r="F13" s="43"/>
      <c r="G13" s="43"/>
      <c r="H13" s="44">
        <f>SUM(D13:G13)</f>
        <v>992.250858</v>
      </c>
      <c r="I13" s="6" t="s">
        <v>22</v>
      </c>
      <c r="J13" s="72">
        <v>836</v>
      </c>
      <c r="K13" s="21">
        <f t="shared" ref="K13:K15" si="8">H13/J13*10000</f>
        <v>11869.0294019139</v>
      </c>
      <c r="L13" s="49"/>
      <c r="N13" s="24">
        <v>9922508.58</v>
      </c>
      <c r="O13" s="23" t="s">
        <v>30</v>
      </c>
      <c r="P13" s="24">
        <f>978.4+75.0148</f>
        <v>1053.4148</v>
      </c>
      <c r="Q13" s="24">
        <f t="shared" si="0"/>
        <v>-61.163942</v>
      </c>
    </row>
    <row r="14" s="24" customFormat="1" customHeight="1" spans="2:17">
      <c r="B14" s="37">
        <v>3</v>
      </c>
      <c r="C14" s="23" t="s">
        <v>31</v>
      </c>
      <c r="D14" s="42">
        <f t="shared" ref="D14:D15" si="9">N14/10000</f>
        <v>197.215743</v>
      </c>
      <c r="E14" s="43"/>
      <c r="F14" s="43"/>
      <c r="G14" s="44"/>
      <c r="H14" s="44">
        <f t="shared" ref="H14" si="10">SUM(D14:G14)</f>
        <v>197.215743</v>
      </c>
      <c r="I14" s="6" t="s">
        <v>22</v>
      </c>
      <c r="J14" s="72">
        <f>J12+J13</f>
        <v>1093.32</v>
      </c>
      <c r="K14" s="21">
        <f t="shared" si="8"/>
        <v>1803.82452529909</v>
      </c>
      <c r="L14" s="49"/>
      <c r="N14" s="24">
        <v>1972157.43</v>
      </c>
      <c r="O14" s="23" t="s">
        <v>31</v>
      </c>
      <c r="P14" s="24">
        <v>99.26</v>
      </c>
      <c r="Q14" s="24">
        <f t="shared" ref="Q14:Q15" si="11">H14-P14</f>
        <v>97.955743</v>
      </c>
    </row>
    <row r="15" s="24" customFormat="1" customHeight="1" spans="2:17">
      <c r="B15" s="37">
        <v>4</v>
      </c>
      <c r="C15" s="23" t="s">
        <v>8</v>
      </c>
      <c r="D15" s="42">
        <f t="shared" si="9"/>
        <v>406.116698</v>
      </c>
      <c r="E15" s="43"/>
      <c r="F15" s="43"/>
      <c r="G15" s="44"/>
      <c r="H15" s="44">
        <f t="shared" ref="H15" si="12">SUM(D15:G15)</f>
        <v>406.116698</v>
      </c>
      <c r="I15" s="6" t="s">
        <v>22</v>
      </c>
      <c r="J15" s="72">
        <f>J12+J13</f>
        <v>1093.32</v>
      </c>
      <c r="K15" s="21">
        <f t="shared" si="8"/>
        <v>3714.52729301577</v>
      </c>
      <c r="L15" s="49"/>
      <c r="N15" s="24">
        <v>4061166.98</v>
      </c>
      <c r="O15" s="23" t="s">
        <v>8</v>
      </c>
      <c r="P15" s="24">
        <v>376.1</v>
      </c>
      <c r="Q15" s="24">
        <f t="shared" si="11"/>
        <v>30.016698</v>
      </c>
    </row>
    <row r="16" s="25" customFormat="1" customHeight="1" spans="2:17">
      <c r="B16" s="37"/>
      <c r="C16" s="23"/>
      <c r="D16" s="42"/>
      <c r="E16" s="43"/>
      <c r="F16" s="43"/>
      <c r="G16" s="44"/>
      <c r="H16" s="44"/>
      <c r="I16" s="6"/>
      <c r="J16" s="72"/>
      <c r="K16" s="21"/>
      <c r="L16" s="49"/>
      <c r="M16" s="24"/>
      <c r="N16" s="24"/>
      <c r="O16" s="24"/>
      <c r="P16" s="24"/>
      <c r="Q16" s="24"/>
    </row>
    <row r="17" customHeight="1" spans="2:12">
      <c r="B17" s="37"/>
      <c r="C17" s="216" t="s">
        <v>32</v>
      </c>
      <c r="D17" s="40">
        <f>+D5</f>
        <v>2396.233321</v>
      </c>
      <c r="E17" s="40">
        <f>+E5</f>
        <v>0</v>
      </c>
      <c r="F17" s="40">
        <f>+F5</f>
        <v>0</v>
      </c>
      <c r="G17" s="40">
        <f>+G5</f>
        <v>0</v>
      </c>
      <c r="H17" s="40">
        <f>SUM(D17:G17)</f>
        <v>2396.233321</v>
      </c>
      <c r="I17" s="49"/>
      <c r="J17" s="72"/>
      <c r="K17" s="72"/>
      <c r="L17" s="49"/>
    </row>
    <row r="18" customHeight="1" spans="2:12">
      <c r="B18" s="37"/>
      <c r="C18" s="45" t="s">
        <v>33</v>
      </c>
      <c r="D18" s="46">
        <f>+SUM(D19:D57)</f>
        <v>0</v>
      </c>
      <c r="E18" s="46">
        <f>+SUM(E19:E57)</f>
        <v>0</v>
      </c>
      <c r="F18" s="46">
        <f>+SUM(F19:F57)</f>
        <v>0</v>
      </c>
      <c r="G18" s="46">
        <f ca="1">+SUM(G19:G57)</f>
        <v>1658.09246516285</v>
      </c>
      <c r="H18" s="40">
        <f ca="1">SUM(H19,H21:H23,H27:H27,H29:H30,H35:H37,H41:H57)</f>
        <v>1658.09246516285</v>
      </c>
      <c r="I18" s="6"/>
      <c r="J18" s="21"/>
      <c r="K18" s="21"/>
      <c r="L18" s="6"/>
    </row>
    <row r="19" customHeight="1" spans="2:12">
      <c r="B19" s="37">
        <v>1</v>
      </c>
      <c r="C19" s="47" t="s">
        <v>34</v>
      </c>
      <c r="D19" s="48"/>
      <c r="E19" s="48"/>
      <c r="F19" s="48"/>
      <c r="G19" s="48"/>
      <c r="H19" s="49">
        <f>+SUM(H20)</f>
        <v>1123.09</v>
      </c>
      <c r="I19" s="47"/>
      <c r="J19" s="21"/>
      <c r="K19" s="21"/>
      <c r="L19" s="74"/>
    </row>
    <row r="20" customHeight="1" spans="2:13">
      <c r="B20" s="37">
        <v>-1</v>
      </c>
      <c r="C20" s="47" t="s">
        <v>35</v>
      </c>
      <c r="D20" s="6"/>
      <c r="E20" s="6"/>
      <c r="F20" s="6"/>
      <c r="G20" s="48">
        <v>1123.09</v>
      </c>
      <c r="H20" s="49">
        <f>SUM(D20:G20)</f>
        <v>1123.09</v>
      </c>
      <c r="I20" s="47" t="s">
        <v>36</v>
      </c>
      <c r="J20" s="21"/>
      <c r="K20" s="21"/>
      <c r="L20" s="47"/>
      <c r="M20" s="24"/>
    </row>
    <row r="21" customHeight="1" spans="2:12">
      <c r="B21" s="37">
        <v>2</v>
      </c>
      <c r="C21" s="47" t="s">
        <v>37</v>
      </c>
      <c r="D21" s="48"/>
      <c r="E21" s="48"/>
      <c r="F21" s="48"/>
      <c r="G21" s="48">
        <f ca="1">G70</f>
        <v>50.4108016079457</v>
      </c>
      <c r="H21" s="49">
        <f ca="1">SUM(D21:G21)</f>
        <v>50.4108016079457</v>
      </c>
      <c r="I21" s="47" t="s">
        <v>38</v>
      </c>
      <c r="J21" s="21"/>
      <c r="K21" s="21"/>
      <c r="L21" s="6"/>
    </row>
    <row r="22" customHeight="1" spans="2:12">
      <c r="B22" s="37">
        <v>3</v>
      </c>
      <c r="C22" s="217" t="s">
        <v>39</v>
      </c>
      <c r="D22" s="48"/>
      <c r="E22" s="48"/>
      <c r="F22" s="48"/>
      <c r="G22" s="48">
        <f>H145</f>
        <v>63.609599704</v>
      </c>
      <c r="H22" s="49">
        <f>SUM(D22:G22)</f>
        <v>63.609599704</v>
      </c>
      <c r="I22" s="47" t="s">
        <v>40</v>
      </c>
      <c r="J22" s="21"/>
      <c r="K22" s="21"/>
      <c r="L22" s="47"/>
    </row>
    <row r="23" customHeight="1" spans="2:12">
      <c r="B23" s="37">
        <v>4</v>
      </c>
      <c r="C23" s="47" t="s">
        <v>41</v>
      </c>
      <c r="D23" s="6"/>
      <c r="E23" s="6"/>
      <c r="F23" s="6"/>
      <c r="G23" s="48"/>
      <c r="H23" s="49">
        <f>+SUM(H24:H26)</f>
        <v>20.3406199038</v>
      </c>
      <c r="I23" s="47"/>
      <c r="J23" s="21"/>
      <c r="K23" s="21"/>
      <c r="L23" s="47"/>
    </row>
    <row r="24" customHeight="1" spans="2:13">
      <c r="B24" s="37">
        <v>-1</v>
      </c>
      <c r="C24" s="47" t="s">
        <v>42</v>
      </c>
      <c r="D24" s="6"/>
      <c r="E24" s="6"/>
      <c r="F24" s="6"/>
      <c r="G24" s="48">
        <f>+G103</f>
        <v>10.384933284</v>
      </c>
      <c r="H24" s="49">
        <f>SUM(D24:G24)</f>
        <v>10.384933284</v>
      </c>
      <c r="I24" s="47" t="s">
        <v>43</v>
      </c>
      <c r="J24" s="21"/>
      <c r="K24" s="21"/>
      <c r="L24" s="47"/>
      <c r="M24" s="24"/>
    </row>
    <row r="25" customHeight="1" spans="2:13">
      <c r="B25" s="37">
        <v>-2</v>
      </c>
      <c r="C25" s="47" t="s">
        <v>44</v>
      </c>
      <c r="D25" s="6"/>
      <c r="E25" s="6"/>
      <c r="F25" s="6"/>
      <c r="G25" s="48">
        <f>+G104</f>
        <v>9.9556866198</v>
      </c>
      <c r="H25" s="49">
        <f>SUM(D25:G25)</f>
        <v>9.9556866198</v>
      </c>
      <c r="I25" s="47" t="s">
        <v>43</v>
      </c>
      <c r="J25" s="21"/>
      <c r="K25" s="21"/>
      <c r="L25" s="47"/>
      <c r="M25" s="24"/>
    </row>
    <row r="26" hidden="1" customHeight="1" spans="2:13">
      <c r="B26" s="37">
        <v>-3</v>
      </c>
      <c r="C26" s="47" t="s">
        <v>45</v>
      </c>
      <c r="D26" s="6"/>
      <c r="E26" s="6"/>
      <c r="F26" s="6"/>
      <c r="G26" s="48">
        <v>0</v>
      </c>
      <c r="H26" s="49">
        <f>SUM(D26:G26)</f>
        <v>0</v>
      </c>
      <c r="I26" s="47" t="s">
        <v>43</v>
      </c>
      <c r="J26" s="21"/>
      <c r="K26" s="21"/>
      <c r="L26" s="47"/>
      <c r="M26" s="24"/>
    </row>
    <row r="27" customHeight="1" spans="2:12">
      <c r="B27" s="37">
        <v>5</v>
      </c>
      <c r="C27" s="47" t="s">
        <v>46</v>
      </c>
      <c r="D27" s="48"/>
      <c r="E27" s="48"/>
      <c r="F27" s="48"/>
      <c r="G27" s="48"/>
      <c r="H27" s="49">
        <f>+SUM(H28:H28)</f>
        <v>5.6</v>
      </c>
      <c r="I27" s="47"/>
      <c r="J27" s="21"/>
      <c r="K27" s="21"/>
      <c r="L27" s="47"/>
    </row>
    <row r="28" customHeight="1" spans="2:13">
      <c r="B28" s="37">
        <v>-1</v>
      </c>
      <c r="C28" s="47" t="s">
        <v>47</v>
      </c>
      <c r="D28" s="48"/>
      <c r="E28" s="48"/>
      <c r="F28" s="48"/>
      <c r="G28" s="48">
        <v>5.6</v>
      </c>
      <c r="H28" s="49">
        <f>SUM(D28:G28)</f>
        <v>5.6</v>
      </c>
      <c r="I28" s="47" t="s">
        <v>48</v>
      </c>
      <c r="J28" s="21"/>
      <c r="K28" s="21"/>
      <c r="L28" s="47"/>
      <c r="M28" s="24"/>
    </row>
    <row r="29" customHeight="1" spans="2:13">
      <c r="B29" s="37">
        <v>6</v>
      </c>
      <c r="C29" s="47" t="s">
        <v>49</v>
      </c>
      <c r="D29" s="6"/>
      <c r="E29" s="6"/>
      <c r="F29" s="6"/>
      <c r="G29" s="48">
        <f ca="1">G79</f>
        <v>6.5933797431739</v>
      </c>
      <c r="H29" s="49">
        <f ca="1">SUM(D29:G29)</f>
        <v>6.5933797431739</v>
      </c>
      <c r="I29" s="47" t="s">
        <v>50</v>
      </c>
      <c r="J29" s="21"/>
      <c r="K29" s="21"/>
      <c r="L29" s="47"/>
      <c r="M29" s="24"/>
    </row>
    <row r="30" customHeight="1" spans="2:13">
      <c r="B30" s="37">
        <v>7</v>
      </c>
      <c r="C30" s="47" t="s">
        <v>51</v>
      </c>
      <c r="D30" s="6"/>
      <c r="E30" s="6"/>
      <c r="F30" s="6"/>
      <c r="G30" s="48"/>
      <c r="H30" s="49">
        <f>+SUM(H31:H34)</f>
        <v>15.2306056567348</v>
      </c>
      <c r="I30" s="47"/>
      <c r="J30" s="21"/>
      <c r="K30" s="21"/>
      <c r="L30" s="47"/>
      <c r="M30" s="24"/>
    </row>
    <row r="31" s="26" customFormat="1" customHeight="1" spans="2:13">
      <c r="B31" s="37">
        <v>-1</v>
      </c>
      <c r="C31" s="47" t="s">
        <v>52</v>
      </c>
      <c r="D31" s="6"/>
      <c r="E31" s="6"/>
      <c r="F31" s="6"/>
      <c r="G31" s="48">
        <v>6.20297695144152</v>
      </c>
      <c r="H31" s="49">
        <f>SUM(D31:G31)</f>
        <v>6.20297695144152</v>
      </c>
      <c r="I31" s="47" t="s">
        <v>53</v>
      </c>
      <c r="J31" s="21"/>
      <c r="K31" s="21"/>
      <c r="L31" s="47"/>
      <c r="M31" s="169"/>
    </row>
    <row r="32" customHeight="1" spans="2:13">
      <c r="B32" s="37">
        <v>-2</v>
      </c>
      <c r="C32" s="47" t="s">
        <v>54</v>
      </c>
      <c r="D32" s="6"/>
      <c r="E32" s="6"/>
      <c r="F32" s="6"/>
      <c r="G32" s="48">
        <v>6.20297695144152</v>
      </c>
      <c r="H32" s="49">
        <f>SUM(D32:G32)</f>
        <v>6.20297695144152</v>
      </c>
      <c r="I32" s="47" t="s">
        <v>53</v>
      </c>
      <c r="J32" s="21"/>
      <c r="K32" s="21"/>
      <c r="L32" s="47"/>
      <c r="M32" s="24"/>
    </row>
    <row r="33" customHeight="1" spans="2:13">
      <c r="B33" s="37">
        <v>-3</v>
      </c>
      <c r="C33" s="50" t="s">
        <v>55</v>
      </c>
      <c r="D33" s="6"/>
      <c r="E33" s="6"/>
      <c r="F33" s="6"/>
      <c r="G33" s="48">
        <v>0.75699277003797</v>
      </c>
      <c r="H33" s="49">
        <f>SUM(D33:G33)</f>
        <v>0.75699277003797</v>
      </c>
      <c r="I33" s="47" t="s">
        <v>53</v>
      </c>
      <c r="J33" s="21"/>
      <c r="K33" s="21"/>
      <c r="L33" s="47"/>
      <c r="M33" s="24"/>
    </row>
    <row r="34" customHeight="1" spans="2:12">
      <c r="B34" s="37">
        <v>-4</v>
      </c>
      <c r="C34" s="47" t="s">
        <v>56</v>
      </c>
      <c r="D34" s="6"/>
      <c r="E34" s="6"/>
      <c r="F34" s="6"/>
      <c r="G34" s="48">
        <v>2.06765898381384</v>
      </c>
      <c r="H34" s="49">
        <f>SUM(D34:G34)</f>
        <v>2.06765898381384</v>
      </c>
      <c r="I34" s="47" t="s">
        <v>53</v>
      </c>
      <c r="J34" s="21"/>
      <c r="K34" s="21"/>
      <c r="L34" s="47"/>
    </row>
    <row r="35" customHeight="1" spans="2:12">
      <c r="B35" s="37">
        <v>8</v>
      </c>
      <c r="C35" s="51" t="s">
        <v>57</v>
      </c>
      <c r="D35" s="52"/>
      <c r="E35" s="52"/>
      <c r="F35" s="52"/>
      <c r="G35" s="53">
        <v>0.76</v>
      </c>
      <c r="H35" s="54">
        <f>SUM(D35:G35)</f>
        <v>0.76</v>
      </c>
      <c r="I35" s="57" t="s">
        <v>58</v>
      </c>
      <c r="J35" s="57"/>
      <c r="K35" s="75"/>
      <c r="L35" s="76"/>
    </row>
    <row r="36" customHeight="1" spans="2:13">
      <c r="B36" s="37">
        <v>9</v>
      </c>
      <c r="C36" s="47" t="s">
        <v>59</v>
      </c>
      <c r="D36" s="6"/>
      <c r="E36" s="6"/>
      <c r="F36" s="6"/>
      <c r="G36" s="48">
        <f>G85</f>
        <v>13.743483112585</v>
      </c>
      <c r="H36" s="49">
        <f>+SUM(D36:G36)</f>
        <v>13.743483112585</v>
      </c>
      <c r="I36" s="57" t="s">
        <v>60</v>
      </c>
      <c r="J36" s="78"/>
      <c r="K36" s="21"/>
      <c r="L36" s="47"/>
      <c r="M36" s="24"/>
    </row>
    <row r="37" customHeight="1" spans="2:13">
      <c r="B37" s="37">
        <v>10</v>
      </c>
      <c r="C37" s="12" t="s">
        <v>61</v>
      </c>
      <c r="D37" s="6"/>
      <c r="E37" s="6"/>
      <c r="F37" s="6"/>
      <c r="G37" s="48"/>
      <c r="H37" s="49">
        <f>+SUM(H38:H40)</f>
        <v>108.1399161425</v>
      </c>
      <c r="I37" s="77"/>
      <c r="J37" s="78"/>
      <c r="K37" s="21"/>
      <c r="L37" s="47"/>
      <c r="M37" s="24"/>
    </row>
    <row r="38" customHeight="1" spans="2:13">
      <c r="B38" s="37">
        <v>-1</v>
      </c>
      <c r="C38" s="12" t="s">
        <v>62</v>
      </c>
      <c r="D38" s="48"/>
      <c r="E38" s="48"/>
      <c r="F38" s="48"/>
      <c r="G38" s="55">
        <f>H17*1%*0.25</f>
        <v>5.9905833025</v>
      </c>
      <c r="H38" s="49">
        <f>SUM(D38:G38)</f>
        <v>5.9905833025</v>
      </c>
      <c r="I38" s="47" t="s">
        <v>63</v>
      </c>
      <c r="J38" s="21"/>
      <c r="K38" s="21"/>
      <c r="L38" s="47"/>
      <c r="M38" s="24"/>
    </row>
    <row r="39" customHeight="1" spans="2:13">
      <c r="B39" s="37">
        <v>-2</v>
      </c>
      <c r="C39" s="12" t="s">
        <v>64</v>
      </c>
      <c r="D39" s="48"/>
      <c r="E39" s="48"/>
      <c r="F39" s="48"/>
      <c r="G39" s="55">
        <f>H17*1%*0.75</f>
        <v>17.9717499075</v>
      </c>
      <c r="H39" s="49">
        <f t="shared" ref="H39:H46" si="13">SUM(D39:G39)</f>
        <v>17.9717499075</v>
      </c>
      <c r="I39" s="47" t="s">
        <v>65</v>
      </c>
      <c r="J39" s="21"/>
      <c r="K39" s="21"/>
      <c r="L39" s="47"/>
      <c r="M39" s="24"/>
    </row>
    <row r="40" s="27" customFormat="1" ht="23.25" customHeight="1" spans="2:13">
      <c r="B40" s="37">
        <v>-3</v>
      </c>
      <c r="C40" s="12" t="s">
        <v>66</v>
      </c>
      <c r="D40" s="6"/>
      <c r="E40" s="6"/>
      <c r="F40" s="6"/>
      <c r="G40" s="55">
        <f>H135</f>
        <v>84.1775829325</v>
      </c>
      <c r="H40" s="49">
        <f t="shared" si="13"/>
        <v>84.1775829325</v>
      </c>
      <c r="I40" s="47" t="s">
        <v>67</v>
      </c>
      <c r="J40" s="21"/>
      <c r="K40" s="21"/>
      <c r="L40" s="47"/>
      <c r="M40" s="170"/>
    </row>
    <row r="41" s="28" customFormat="1" customHeight="1" spans="2:13">
      <c r="B41" s="37">
        <v>11</v>
      </c>
      <c r="C41" s="47" t="s">
        <v>68</v>
      </c>
      <c r="D41" s="6"/>
      <c r="E41" s="6"/>
      <c r="F41" s="6"/>
      <c r="G41" s="48">
        <f>G99</f>
        <v>5.4715428906125</v>
      </c>
      <c r="H41" s="49">
        <f t="shared" si="13"/>
        <v>5.4715428906125</v>
      </c>
      <c r="I41" s="47" t="s">
        <v>69</v>
      </c>
      <c r="J41" s="21"/>
      <c r="K41" s="21"/>
      <c r="L41" s="47"/>
      <c r="M41" s="171"/>
    </row>
    <row r="42" s="28" customFormat="1" customHeight="1" spans="2:13">
      <c r="B42" s="37">
        <v>12</v>
      </c>
      <c r="C42" s="47" t="s">
        <v>70</v>
      </c>
      <c r="D42" s="48"/>
      <c r="E42" s="48"/>
      <c r="F42" s="48"/>
      <c r="G42" s="48">
        <f>H17*1%</f>
        <v>23.96233321</v>
      </c>
      <c r="H42" s="49">
        <f t="shared" si="13"/>
        <v>23.96233321</v>
      </c>
      <c r="I42" s="47" t="s">
        <v>71</v>
      </c>
      <c r="J42" s="21"/>
      <c r="K42" s="21"/>
      <c r="L42" s="47"/>
      <c r="M42" s="171"/>
    </row>
    <row r="43" s="28" customFormat="1" customHeight="1" spans="2:13">
      <c r="B43" s="37">
        <v>13</v>
      </c>
      <c r="C43" s="47" t="s">
        <v>72</v>
      </c>
      <c r="D43" s="48"/>
      <c r="E43" s="48"/>
      <c r="F43" s="48"/>
      <c r="G43" s="48">
        <f>H17*0.45%</f>
        <v>10.7830499445</v>
      </c>
      <c r="H43" s="49">
        <f t="shared" si="13"/>
        <v>10.7830499445</v>
      </c>
      <c r="I43" s="47" t="s">
        <v>73</v>
      </c>
      <c r="J43" s="21"/>
      <c r="K43" s="21"/>
      <c r="L43" s="47"/>
      <c r="M43" s="171"/>
    </row>
    <row r="44" s="28" customFormat="1" customHeight="1" spans="2:13">
      <c r="B44" s="37">
        <v>14</v>
      </c>
      <c r="C44" s="47" t="s">
        <v>74</v>
      </c>
      <c r="D44" s="48"/>
      <c r="E44" s="48"/>
      <c r="F44" s="48"/>
      <c r="G44" s="48">
        <f t="shared" ref="G44:G46" si="14">H17*0.7%</f>
        <v>16.773633247</v>
      </c>
      <c r="H44" s="49">
        <f t="shared" si="13"/>
        <v>16.773633247</v>
      </c>
      <c r="I44" s="47" t="s">
        <v>75</v>
      </c>
      <c r="J44" s="21"/>
      <c r="K44" s="21"/>
      <c r="L44" s="47"/>
      <c r="M44" s="171"/>
    </row>
    <row r="45" s="28" customFormat="1" customHeight="1" spans="2:13">
      <c r="B45" s="37">
        <v>15</v>
      </c>
      <c r="C45" s="87" t="s">
        <v>76</v>
      </c>
      <c r="D45" s="48"/>
      <c r="E45" s="48"/>
      <c r="F45" s="48"/>
      <c r="G45" s="48">
        <v>5.8215</v>
      </c>
      <c r="H45" s="49">
        <f t="shared" si="13"/>
        <v>5.8215</v>
      </c>
      <c r="I45" s="47" t="s">
        <v>77</v>
      </c>
      <c r="J45" s="21"/>
      <c r="K45" s="21"/>
      <c r="L45" s="47"/>
      <c r="M45" s="171"/>
    </row>
    <row r="46" s="28" customFormat="1" customHeight="1" spans="2:13">
      <c r="B46" s="37">
        <v>16</v>
      </c>
      <c r="C46" s="87" t="s">
        <v>78</v>
      </c>
      <c r="D46" s="48"/>
      <c r="E46" s="48"/>
      <c r="F46" s="48"/>
      <c r="G46" s="48">
        <v>7.762</v>
      </c>
      <c r="H46" s="49">
        <f t="shared" si="13"/>
        <v>7.762</v>
      </c>
      <c r="I46" s="47" t="s">
        <v>77</v>
      </c>
      <c r="J46" s="21"/>
      <c r="K46" s="21"/>
      <c r="L46" s="47"/>
      <c r="M46" s="171"/>
    </row>
    <row r="47" s="29" customFormat="1" customHeight="1" spans="2:15">
      <c r="B47" s="37">
        <v>17</v>
      </c>
      <c r="C47" s="57" t="s">
        <v>79</v>
      </c>
      <c r="D47" s="59"/>
      <c r="E47" s="59"/>
      <c r="F47" s="59"/>
      <c r="G47" s="88">
        <v>10</v>
      </c>
      <c r="H47" s="58">
        <f t="shared" ref="H47:H58" si="15">SUM(D47:G47)</f>
        <v>10</v>
      </c>
      <c r="I47" s="57" t="s">
        <v>36</v>
      </c>
      <c r="J47" s="79"/>
      <c r="K47" s="80"/>
      <c r="L47" s="81"/>
      <c r="M47" s="172"/>
      <c r="N47" s="172"/>
      <c r="O47" s="172"/>
    </row>
    <row r="48" s="29" customFormat="1" customHeight="1" spans="2:15">
      <c r="B48" s="37">
        <v>18</v>
      </c>
      <c r="C48" s="57" t="s">
        <v>80</v>
      </c>
      <c r="D48" s="59"/>
      <c r="E48" s="59"/>
      <c r="F48" s="59"/>
      <c r="G48" s="88">
        <v>10</v>
      </c>
      <c r="H48" s="58">
        <f t="shared" si="15"/>
        <v>10</v>
      </c>
      <c r="I48" s="57" t="s">
        <v>36</v>
      </c>
      <c r="J48" s="79"/>
      <c r="K48" s="80"/>
      <c r="L48" s="81"/>
      <c r="M48" s="172"/>
      <c r="N48" s="172"/>
      <c r="O48" s="172"/>
    </row>
    <row r="49" s="29" customFormat="1" customHeight="1" spans="2:15">
      <c r="B49" s="37">
        <v>19</v>
      </c>
      <c r="C49" s="60" t="s">
        <v>81</v>
      </c>
      <c r="D49" s="59"/>
      <c r="E49" s="59"/>
      <c r="F49" s="59"/>
      <c r="G49" s="88">
        <v>20</v>
      </c>
      <c r="H49" s="58">
        <f t="shared" si="15"/>
        <v>20</v>
      </c>
      <c r="I49" s="57" t="s">
        <v>36</v>
      </c>
      <c r="J49" s="79"/>
      <c r="K49" s="80"/>
      <c r="L49" s="81"/>
      <c r="M49" s="172"/>
      <c r="N49" s="172"/>
      <c r="O49" s="172"/>
    </row>
    <row r="50" s="29" customFormat="1" customHeight="1" spans="2:15">
      <c r="B50" s="37">
        <v>20</v>
      </c>
      <c r="C50" s="60" t="s">
        <v>82</v>
      </c>
      <c r="D50" s="59"/>
      <c r="E50" s="59"/>
      <c r="F50" s="59"/>
      <c r="G50" s="88">
        <v>10</v>
      </c>
      <c r="H50" s="58">
        <f t="shared" si="15"/>
        <v>10</v>
      </c>
      <c r="I50" s="57" t="s">
        <v>36</v>
      </c>
      <c r="J50" s="79"/>
      <c r="K50" s="80"/>
      <c r="L50" s="81"/>
      <c r="M50" s="172"/>
      <c r="N50" s="172"/>
      <c r="O50" s="172"/>
    </row>
    <row r="51" s="29" customFormat="1" customHeight="1" spans="2:15">
      <c r="B51" s="37">
        <v>21</v>
      </c>
      <c r="C51" s="60" t="s">
        <v>83</v>
      </c>
      <c r="D51" s="59"/>
      <c r="E51" s="59"/>
      <c r="F51" s="59"/>
      <c r="G51" s="88">
        <v>30</v>
      </c>
      <c r="H51" s="58">
        <f t="shared" si="15"/>
        <v>30</v>
      </c>
      <c r="I51" s="57" t="s">
        <v>36</v>
      </c>
      <c r="J51" s="79"/>
      <c r="K51" s="80"/>
      <c r="L51" s="81"/>
      <c r="M51" s="172"/>
      <c r="N51" s="172"/>
      <c r="O51" s="172"/>
    </row>
    <row r="52" s="29" customFormat="1" customHeight="1" spans="2:15">
      <c r="B52" s="37">
        <v>22</v>
      </c>
      <c r="C52" s="61" t="s">
        <v>84</v>
      </c>
      <c r="D52" s="62"/>
      <c r="E52" s="62"/>
      <c r="F52" s="62"/>
      <c r="G52" s="88">
        <v>50</v>
      </c>
      <c r="H52" s="58">
        <f t="shared" si="15"/>
        <v>50</v>
      </c>
      <c r="I52" s="57" t="s">
        <v>36</v>
      </c>
      <c r="J52" s="82"/>
      <c r="K52" s="83"/>
      <c r="L52" s="81"/>
      <c r="M52" s="173"/>
      <c r="N52" s="173"/>
      <c r="O52" s="173"/>
    </row>
    <row r="53" s="29" customFormat="1" customHeight="1" spans="2:15">
      <c r="B53" s="37">
        <v>23</v>
      </c>
      <c r="C53" s="63" t="s">
        <v>85</v>
      </c>
      <c r="D53" s="64"/>
      <c r="E53" s="64"/>
      <c r="F53" s="64"/>
      <c r="G53" s="88">
        <v>15</v>
      </c>
      <c r="H53" s="58">
        <f t="shared" si="15"/>
        <v>15</v>
      </c>
      <c r="I53" s="57" t="s">
        <v>36</v>
      </c>
      <c r="J53" s="79"/>
      <c r="K53" s="80"/>
      <c r="L53" s="81"/>
      <c r="M53" s="174"/>
      <c r="N53" s="174"/>
      <c r="O53" s="174"/>
    </row>
    <row r="54" s="29" customFormat="1" customHeight="1" spans="2:15">
      <c r="B54" s="37">
        <v>24</v>
      </c>
      <c r="C54" s="63" t="s">
        <v>86</v>
      </c>
      <c r="D54" s="64"/>
      <c r="E54" s="64"/>
      <c r="F54" s="64"/>
      <c r="G54" s="88">
        <v>10</v>
      </c>
      <c r="H54" s="58">
        <f t="shared" si="15"/>
        <v>10</v>
      </c>
      <c r="I54" s="57" t="s">
        <v>36</v>
      </c>
      <c r="J54" s="79"/>
      <c r="K54" s="80"/>
      <c r="L54" s="81"/>
      <c r="M54" s="174"/>
      <c r="N54" s="174"/>
      <c r="O54" s="174"/>
    </row>
    <row r="55" s="29" customFormat="1" customHeight="1" spans="2:15">
      <c r="B55" s="37">
        <v>25</v>
      </c>
      <c r="C55" s="63" t="s">
        <v>87</v>
      </c>
      <c r="D55" s="64"/>
      <c r="E55" s="64"/>
      <c r="F55" s="64"/>
      <c r="G55" s="88">
        <v>20</v>
      </c>
      <c r="H55" s="58">
        <f t="shared" si="15"/>
        <v>20</v>
      </c>
      <c r="I55" s="57" t="s">
        <v>36</v>
      </c>
      <c r="J55" s="79"/>
      <c r="K55" s="80"/>
      <c r="L55" s="81"/>
      <c r="M55" s="174"/>
      <c r="N55" s="174"/>
      <c r="O55" s="174"/>
    </row>
    <row r="56" s="29" customFormat="1" customHeight="1" spans="2:15">
      <c r="B56" s="37">
        <v>26</v>
      </c>
      <c r="C56" s="63" t="s">
        <v>88</v>
      </c>
      <c r="D56" s="64"/>
      <c r="E56" s="64"/>
      <c r="F56" s="64"/>
      <c r="G56" s="88">
        <v>5</v>
      </c>
      <c r="H56" s="58">
        <f t="shared" si="15"/>
        <v>5</v>
      </c>
      <c r="I56" s="57" t="s">
        <v>36</v>
      </c>
      <c r="J56" s="79"/>
      <c r="K56" s="80"/>
      <c r="L56" s="81"/>
      <c r="M56" s="174"/>
      <c r="N56" s="174"/>
      <c r="O56" s="174"/>
    </row>
    <row r="57" customHeight="1" spans="2:13">
      <c r="B57" s="37"/>
      <c r="C57" s="47"/>
      <c r="D57" s="6"/>
      <c r="E57" s="6"/>
      <c r="F57" s="6"/>
      <c r="G57" s="48"/>
      <c r="H57" s="48"/>
      <c r="I57" s="6"/>
      <c r="J57" s="21"/>
      <c r="K57" s="21"/>
      <c r="L57" s="6"/>
      <c r="M57" s="24"/>
    </row>
    <row r="58" customHeight="1" spans="2:13">
      <c r="B58" s="37"/>
      <c r="C58" s="216" t="s">
        <v>89</v>
      </c>
      <c r="D58" s="40"/>
      <c r="E58" s="40"/>
      <c r="F58" s="40"/>
      <c r="G58" s="40">
        <f ca="1">+H18</f>
        <v>1658.09246516285</v>
      </c>
      <c r="H58" s="40">
        <f ca="1">SUM(D58:G58)</f>
        <v>1658.09246516285</v>
      </c>
      <c r="I58" s="49"/>
      <c r="J58" s="72"/>
      <c r="K58" s="72"/>
      <c r="L58" s="49"/>
      <c r="M58" s="175">
        <v>0.05</v>
      </c>
    </row>
    <row r="59" customHeight="1" spans="2:12">
      <c r="B59" s="37"/>
      <c r="C59" s="218" t="s">
        <v>90</v>
      </c>
      <c r="D59" s="46">
        <f>+D17+D58</f>
        <v>2396.233321</v>
      </c>
      <c r="E59" s="46">
        <f>+E17+E58</f>
        <v>0</v>
      </c>
      <c r="F59" s="46">
        <f>+F17+F58</f>
        <v>0</v>
      </c>
      <c r="G59" s="46">
        <f ca="1">+G17+G58</f>
        <v>1658.09246516285</v>
      </c>
      <c r="H59" s="40">
        <f ca="1">SUM(D59:G59)</f>
        <v>4054.32578616285</v>
      </c>
      <c r="I59" s="6"/>
      <c r="J59" s="21"/>
      <c r="K59" s="21"/>
      <c r="L59" s="6"/>
    </row>
    <row r="60" customHeight="1" spans="2:12">
      <c r="B60" s="37"/>
      <c r="C60" s="45" t="s">
        <v>91</v>
      </c>
      <c r="D60" s="6"/>
      <c r="E60" s="6"/>
      <c r="F60" s="6"/>
      <c r="G60" s="46">
        <f ca="1">SUM(G61:G62)</f>
        <v>146.561789308143</v>
      </c>
      <c r="H60" s="40">
        <f ca="1">SUM(D60:G60)</f>
        <v>146.561789308143</v>
      </c>
      <c r="I60" s="6"/>
      <c r="J60" s="21"/>
      <c r="K60" s="21"/>
      <c r="L60" s="6"/>
    </row>
    <row r="61" customHeight="1" spans="2:12">
      <c r="B61" s="37"/>
      <c r="C61" s="47" t="str">
        <f>+"基本预备费    "&amp;M58*100&amp;"%"</f>
        <v>基本预备费    5%</v>
      </c>
      <c r="D61" s="6"/>
      <c r="E61" s="6"/>
      <c r="F61" s="6"/>
      <c r="G61" s="65">
        <f ca="1">(H59-H19)*M58</f>
        <v>146.561789308143</v>
      </c>
      <c r="H61" s="48">
        <f ca="1">SUM(D61:G61)</f>
        <v>146.561789308143</v>
      </c>
      <c r="I61" s="6"/>
      <c r="J61" s="21"/>
      <c r="K61" s="21"/>
      <c r="L61" s="6"/>
    </row>
    <row r="62" customHeight="1" spans="2:12">
      <c r="B62" s="37"/>
      <c r="C62" s="45"/>
      <c r="D62" s="6"/>
      <c r="E62" s="6"/>
      <c r="F62" s="6"/>
      <c r="G62" s="6"/>
      <c r="H62" s="6"/>
      <c r="I62" s="6"/>
      <c r="J62" s="21"/>
      <c r="K62" s="21"/>
      <c r="L62" s="6"/>
    </row>
    <row r="63" customHeight="1" spans="2:12">
      <c r="B63" s="37"/>
      <c r="C63" s="218" t="s">
        <v>92</v>
      </c>
      <c r="D63" s="46">
        <f>D59+D60</f>
        <v>2396.233321</v>
      </c>
      <c r="E63" s="46">
        <f>E59+E60</f>
        <v>0</v>
      </c>
      <c r="F63" s="46">
        <f>F59+F60</f>
        <v>0</v>
      </c>
      <c r="G63" s="46">
        <f ca="1">G59+G60</f>
        <v>1804.65425447099</v>
      </c>
      <c r="H63" s="40">
        <f ca="1">SUM(D63:G63)</f>
        <v>4200.88757547099</v>
      </c>
      <c r="I63" s="6"/>
      <c r="J63" s="21"/>
      <c r="K63" s="21"/>
      <c r="L63" s="6"/>
    </row>
    <row r="64" customHeight="1" spans="2:12">
      <c r="B64" s="37"/>
      <c r="C64" s="45"/>
      <c r="D64" s="6"/>
      <c r="E64" s="6"/>
      <c r="F64" s="6"/>
      <c r="G64" s="6"/>
      <c r="H64" s="6"/>
      <c r="I64" s="6"/>
      <c r="J64" s="21"/>
      <c r="K64" s="21"/>
      <c r="L64" s="6"/>
    </row>
    <row r="65" customHeight="1" spans="2:18">
      <c r="B65" s="86"/>
      <c r="C65" s="45" t="s">
        <v>93</v>
      </c>
      <c r="D65" s="46">
        <f>+D63</f>
        <v>2396.233321</v>
      </c>
      <c r="E65" s="46">
        <f>E63</f>
        <v>0</v>
      </c>
      <c r="F65" s="46">
        <f>F63</f>
        <v>0</v>
      </c>
      <c r="G65" s="46">
        <f ca="1">+G63</f>
        <v>1804.65425447099</v>
      </c>
      <c r="H65" s="40">
        <f ca="1">+SUM(D65:G65)</f>
        <v>4200.88757547099</v>
      </c>
      <c r="I65" s="6"/>
      <c r="J65" s="21"/>
      <c r="K65" s="21"/>
      <c r="L65" s="6"/>
      <c r="P65" s="30">
        <v>3919.97</v>
      </c>
      <c r="Q65" s="30">
        <f ca="1">H65-P65</f>
        <v>280.917575470994</v>
      </c>
      <c r="R65" s="199">
        <f ca="1">Q65/P65</f>
        <v>0.0716631952466457</v>
      </c>
    </row>
    <row r="66" customHeight="1" spans="2:12">
      <c r="B66" s="37"/>
      <c r="C66" s="47"/>
      <c r="D66" s="6"/>
      <c r="E66" s="6"/>
      <c r="F66" s="6"/>
      <c r="G66" s="6"/>
      <c r="H66" s="48"/>
      <c r="I66" s="6"/>
      <c r="J66" s="21"/>
      <c r="K66" s="21"/>
      <c r="L66" s="6"/>
    </row>
    <row r="67" customHeight="1" spans="2:12">
      <c r="B67" s="177"/>
      <c r="C67" s="178"/>
      <c r="D67" s="178"/>
      <c r="E67" s="178"/>
      <c r="F67" s="178"/>
      <c r="G67" s="179"/>
      <c r="H67" s="24"/>
      <c r="I67" s="178"/>
      <c r="J67" s="188"/>
      <c r="K67" s="189"/>
      <c r="L67" s="178"/>
    </row>
    <row r="68" customHeight="1" spans="2:13">
      <c r="B68" s="177"/>
      <c r="C68" s="180" t="s">
        <v>94</v>
      </c>
      <c r="D68" s="180"/>
      <c r="E68" s="180" t="s">
        <v>95</v>
      </c>
      <c r="F68" s="180" t="s">
        <v>96</v>
      </c>
      <c r="G68" s="181"/>
      <c r="H68" s="180" t="s">
        <v>97</v>
      </c>
      <c r="I68" s="180" t="s">
        <v>98</v>
      </c>
      <c r="J68" s="190" t="s">
        <v>99</v>
      </c>
      <c r="K68" s="189"/>
      <c r="L68" s="178"/>
      <c r="M68" s="24"/>
    </row>
    <row r="69" customHeight="1" spans="3:10">
      <c r="C69" s="166" t="s">
        <v>100</v>
      </c>
      <c r="G69" s="24">
        <f ca="1">IF(H69&lt;=1000,H69*1.5%,IF(H69&lt;=5000,15+(H69-1000)*1.2%,IF(H69&lt;=10000,63+(H69-5000)*1%,IF(H69&lt;=50000,113+(H69-10000)*0.8%,IF(H69&lt;=100000,433+(H69-50000)*0.5%,IF(H69&lt;=200000,683+(H69-100000)*0.2%,883+(H69-200000)*0.1%))))))</f>
        <v>53.4106509056519</v>
      </c>
      <c r="H69" s="24">
        <f ca="1">+H65</f>
        <v>4200.88757547099</v>
      </c>
      <c r="I69" s="191">
        <f ca="1">+G69/H69</f>
        <v>0.0127141347979691</v>
      </c>
      <c r="J69" s="192" t="s">
        <v>101</v>
      </c>
    </row>
    <row r="70" customHeight="1" spans="3:10">
      <c r="C70" s="166" t="s">
        <v>102</v>
      </c>
      <c r="G70" s="24">
        <f ca="1">IF(H70&lt;=1000,H70*2%,IF(H70&lt;=5000,20+(H70-1000)*1.5%,IF(H70&lt;=10000,80+(H70-5000)*1.2%,IF(H70&lt;=50000,140+(H70-10000)*1%,IF(H70&lt;=100000,540+(H70-50000)*0.8%,940+(H70-100000)*0.4%)))))</f>
        <v>50.4108016079457</v>
      </c>
      <c r="H70" s="24">
        <f ca="1">+H65-H19-H21</f>
        <v>3027.38677386305</v>
      </c>
      <c r="I70" s="191">
        <f ca="1">+G70/H70</f>
        <v>0.016651589431244</v>
      </c>
      <c r="J70" s="192" t="s">
        <v>38</v>
      </c>
    </row>
    <row r="71" customHeight="1" spans="3:10">
      <c r="C71" s="166" t="s">
        <v>103</v>
      </c>
      <c r="G71" s="24">
        <f>IF(H71&lt;=5000,H71*3%,IF(H71&lt;=10000,150+(H71-5000)*2.5%,IF(H71&lt;=20000,275+(H71-10000)*2%,IF(H71&lt;=50000,475+(H71-20000)*1.5%,925+(H71-50000)*0.5%))))*1.1*1.2</f>
        <v>94.8908395116</v>
      </c>
      <c r="H71" s="24">
        <f>+H17</f>
        <v>2396.233321</v>
      </c>
      <c r="I71" s="191">
        <f>+G71/H71</f>
        <v>0.0396</v>
      </c>
      <c r="J71" s="192" t="s">
        <v>104</v>
      </c>
    </row>
    <row r="72" customHeight="1" spans="3:10">
      <c r="C72" s="166" t="s">
        <v>103</v>
      </c>
      <c r="G72" s="24">
        <f>IF(H72&lt;=1000,H72*3%,IF(H72&lt;=5000,30+(H72-1000)*2.5%,IF(H72&lt;=10000,130+(H72-5000)*2%,IF(H72&lt;=50000,230+(H72-10000)*1.6%,IF(H72&lt;=100000,870+(H72-50000)*1.2%,IF(H72&lt;=200000,1470+(H72-100000)*1%,2470))))))</f>
        <v>64.905833025</v>
      </c>
      <c r="H72" s="24">
        <f>+H17</f>
        <v>2396.233321</v>
      </c>
      <c r="I72" s="191">
        <f>+G72/H72</f>
        <v>0.0270866081596401</v>
      </c>
      <c r="J72" s="192" t="s">
        <v>105</v>
      </c>
    </row>
    <row r="73" customHeight="1" spans="3:9">
      <c r="C73" s="166" t="s">
        <v>106</v>
      </c>
      <c r="G73" s="24">
        <f ca="1">SUM(G74:G77)*H74*I74+G78</f>
        <v>27.4355147988651</v>
      </c>
      <c r="H73" s="24">
        <f ca="1">+H65</f>
        <v>4200.88757547099</v>
      </c>
      <c r="I73" s="191">
        <f ca="1">+G73/H73</f>
        <v>0.00653088527268886</v>
      </c>
    </row>
    <row r="74" customHeight="1" spans="3:10">
      <c r="C74" s="166" t="s">
        <v>107</v>
      </c>
      <c r="G74" s="24">
        <f ca="1">IF(H73&lt;=3000,6/3000*H73,IF(H73&lt;=10000,6+(14-6)/7000*(H73-3000),IF(H73&lt;=50000,14+(37-14)/40000*(H73-10000),IF(H73&lt;=100000,37+(55-37)/50000*(H73-50000),IF(H73&lt;=500000,55+(100-55)/400000*(H73-100000),125)))))</f>
        <v>7.37244294339542</v>
      </c>
      <c r="H74" s="24">
        <v>0.7</v>
      </c>
      <c r="I74" s="24">
        <v>1.2</v>
      </c>
      <c r="J74" s="32">
        <f ca="1">+G74*$H$169*$I$169</f>
        <v>0</v>
      </c>
    </row>
    <row r="75" customHeight="1" spans="3:10">
      <c r="C75" s="166" t="s">
        <v>108</v>
      </c>
      <c r="G75" s="24">
        <f ca="1">IF(H73&lt;=3000,12/3000*H73,IF(H73&lt;=10000,12+(28-12)/7000*(H73-3000),IF(H73&lt;=50000,28+(75-28)/40000*(H73-10000),IF(H73&lt;=100000,75+(110-75)/50000*(H73-50000),IF(H73&lt;=500000,110+(200-110)/400000*(H73-100000),250)))))</f>
        <v>14.7448858867908</v>
      </c>
      <c r="I75" s="191"/>
      <c r="J75" s="32">
        <f ca="1">+G75*$H$169*$I$169</f>
        <v>0</v>
      </c>
    </row>
    <row r="76" customHeight="1" spans="3:10">
      <c r="C76" s="166" t="s">
        <v>109</v>
      </c>
      <c r="G76" s="24">
        <f ca="1">IF(H73&lt;=3000,4/3000*H73,IF(H73&lt;=10000,4+(8-4)/7000*(H73-3000),IF(H73&lt;=50000,8+(12-8)/40000*(H73-10000),IF(H73&lt;=100000,12+(15-12)/50000*(H73-50000),IF(H73&lt;=500000,15+(17-15)/400000*(H73-100000),20)))))</f>
        <v>4.68622147169771</v>
      </c>
      <c r="H76" s="24"/>
      <c r="J76" s="32">
        <f ca="1">+G76*$H$169*$I$169</f>
        <v>0</v>
      </c>
    </row>
    <row r="77" customHeight="1" spans="3:10">
      <c r="C77" s="166" t="s">
        <v>110</v>
      </c>
      <c r="G77" s="24">
        <f ca="1">IF(H73&lt;=3000,5/3000*H73,IF(H73&lt;=10000,5+(10-5)/7000*(H73-3000),IF(H73&lt;=50000,10+(15-10)/40000*(H73-10000),IF(H73&lt;=100000,15+(20-15)/50000*(H73-50000),IF(H73&lt;=500000,20+(25-20)/400000*(H73-100000),35)))))</f>
        <v>5.85777683962214</v>
      </c>
      <c r="H77" s="24"/>
      <c r="J77" s="32">
        <f ca="1">+G77*$H$169*$I$169</f>
        <v>0</v>
      </c>
    </row>
    <row r="78" customHeight="1" spans="3:8">
      <c r="C78" s="166" t="s">
        <v>111</v>
      </c>
      <c r="G78" s="24"/>
      <c r="H78" s="24"/>
    </row>
    <row r="79" customHeight="1" spans="3:10">
      <c r="C79" s="166" t="s">
        <v>112</v>
      </c>
      <c r="G79" s="24">
        <f ca="1">SUM(G80:G83)*H80+G84</f>
        <v>6.5933797431739</v>
      </c>
      <c r="H79" s="24">
        <f ca="1">+H65</f>
        <v>4200.88757547099</v>
      </c>
      <c r="I79" s="191">
        <f ca="1">+G79/H79</f>
        <v>0.00156952063694175</v>
      </c>
      <c r="J79" s="192"/>
    </row>
    <row r="80" customHeight="1" spans="3:9">
      <c r="C80" s="166" t="s">
        <v>113</v>
      </c>
      <c r="G80" s="24">
        <f ca="1">IF(H79&lt;=3000,6/3000*H73,IF(H79&lt;=20000,6+(15-6)/17000*(H79-3000),IF(H79&lt;=100000,15+(35-15)/80000*(H79-20000),IF(H79&lt;=500000,35+(75-35)/400000*(H79-100000),IF(H79&lt;=1000000,75+(110-75)/500000*(H79-500000),110)))))</f>
        <v>6.63576401054347</v>
      </c>
      <c r="H80" s="24">
        <v>0.8</v>
      </c>
      <c r="I80" s="24"/>
    </row>
    <row r="81" customHeight="1" spans="3:9">
      <c r="C81" s="166" t="s">
        <v>114</v>
      </c>
      <c r="I81" s="24">
        <f ca="1">IF(H79&lt;=3000,1/3000*H73,IF(H79&lt;=20000,2+(4-2)/17000*(H79-3000),IF(H79&lt;=100000,4+(7-4)/80000*(H79-20000),H79/100000*7)))</f>
        <v>2.14128089123188</v>
      </c>
    </row>
    <row r="82" customHeight="1" spans="2:8">
      <c r="B82" s="30"/>
      <c r="C82" s="166" t="s">
        <v>115</v>
      </c>
      <c r="G82" s="24">
        <f ca="1">IF(H79&lt;=3000,1.5/3000*H73,IF(H79&lt;=20000,1.5+(3-1.5)/17000*(H79-3000),IF(H79&lt;=100000,3+(7-3)/80000*(H79-20000),IF(H79&lt;=500000,7+(9-7)/400000*(H79-100000),IF(H79&lt;=1000000,9+(13-9)/500000*(H79-500000),13*H79/100)))))</f>
        <v>1.60596066842391</v>
      </c>
      <c r="H82" s="24"/>
    </row>
    <row r="83" customHeight="1" spans="2:9">
      <c r="B83" s="30"/>
      <c r="C83" s="166" t="s">
        <v>116</v>
      </c>
      <c r="H83" s="24"/>
      <c r="I83" s="24">
        <f ca="1">IF(H79&lt;=3000,0.5/3000*H73,IF(H79&lt;=20000,0.8+(1.5-0.8)/17000*(H79-3000),IF(H79&lt;=100000,1.5+(2-1.5)/80000*(H79-20000),H79/100000*2)))</f>
        <v>0.849448311931159</v>
      </c>
    </row>
    <row r="84" customHeight="1" spans="2:8">
      <c r="B84" s="30"/>
      <c r="C84" s="166" t="s">
        <v>111</v>
      </c>
      <c r="G84" s="24"/>
      <c r="H84" s="24"/>
    </row>
    <row r="85" customHeight="1" spans="2:12">
      <c r="B85" s="30"/>
      <c r="C85" s="166" t="s">
        <v>117</v>
      </c>
      <c r="G85" s="168">
        <f>SUM(G86:G90)</f>
        <v>13.743483112585</v>
      </c>
      <c r="H85" s="168"/>
      <c r="I85" s="168"/>
      <c r="J85" s="192" t="s">
        <v>118</v>
      </c>
      <c r="K85" s="70"/>
      <c r="L85" s="24"/>
    </row>
    <row r="86" customHeight="1" spans="2:12">
      <c r="B86" s="30"/>
      <c r="C86" s="182" t="s">
        <v>119</v>
      </c>
      <c r="G86" s="24">
        <f>IF(H86&lt;=100,H86*1.5%,IF(H86&lt;=500,1.5+(H86-100)*0.8%,IF(H86&lt;=1000,4.7+(H86-500)*0.45%,IF(H86&lt;=5000,6.95+(H86-1000)*0.25%,IF(H86&lt;=10000,16.95+(H86-5000)*0.1%,IF(H86&lt;=50000,21.95+(H86-10000)*0.05%,IF(H86&lt;=100000,46.95+(H86-50000)*0.035%,IF(H86&lt;=500000,64.45+(H86-100000)*0.008%,IF(H86&lt;=1000000,96.45+(H86-500000)*0.006%,126.45+(H86-1000000)*0.004%)))))))))</f>
        <v>0.0898587495375</v>
      </c>
      <c r="H86" s="168">
        <f>+H38</f>
        <v>5.9905833025</v>
      </c>
      <c r="I86" s="168"/>
      <c r="J86" s="193"/>
      <c r="K86" s="70"/>
      <c r="L86" s="24"/>
    </row>
    <row r="87" customHeight="1" spans="2:12">
      <c r="B87" s="30"/>
      <c r="C87" s="182" t="s">
        <v>120</v>
      </c>
      <c r="G87" s="24">
        <f>IF(H87&lt;=100,H87*1.5%,IF(H87&lt;=500,1.5+(H87-100)*0.8%,IF(H87&lt;=1000,4.7+(H87-500)*0.45%,IF(H87&lt;=5000,6.95+(H87-1000)*0.25%,IF(H87&lt;=10000,16.95+(H87-5000)*0.1%,IF(H87&lt;=50000,21.95+(H87-10000)*0.05%,IF(H87&lt;=100000,46.95+(H87-50000)*0.035%,IF(H87&lt;=500000,64.45+(H87-100000)*0.008%,IF(H87&lt;=1000000,96.45+(H87-500000)*0.006%,126.45+(H87-1000000)*0.004%)))))))))</f>
        <v>1.2626637439875</v>
      </c>
      <c r="H87" s="168">
        <f>+H40</f>
        <v>84.1775829325</v>
      </c>
      <c r="I87" s="168"/>
      <c r="J87" s="193"/>
      <c r="K87" s="70"/>
      <c r="L87" s="24"/>
    </row>
    <row r="88" customHeight="1" spans="2:12">
      <c r="B88" s="30"/>
      <c r="C88" s="182" t="s">
        <v>121</v>
      </c>
      <c r="G88" s="24">
        <f>IF(H88&lt;=100,H88*1.5%,IF(H88&lt;=500,1.5+(H88-100)*0.8%,IF(H88&lt;=1000,4.7+(H88-500)*0.45%,IF(H88&lt;=5000,6.95+(H88-1000)*0.25%,IF(H88&lt;=10000,16.95+(H88-5000)*0.1%,IF(H88&lt;=50000,21.95+(H88-10000)*0.05%,IF(H88&lt;=100000,46.95+(H88-50000)*0.035%,IF(H88&lt;=500000,64.45+(H88-100000)*0.008%,IF(H88&lt;=1000000,96.45+(H88-500000)*0.006%,126.45+(H88-1000000)*0.004%)))))))))</f>
        <v>0.95414399556</v>
      </c>
      <c r="H88" s="168">
        <f>+H22</f>
        <v>63.609599704</v>
      </c>
      <c r="I88" s="168"/>
      <c r="J88" s="193"/>
      <c r="K88" s="70"/>
      <c r="L88" s="24"/>
    </row>
    <row r="89" customHeight="1" spans="2:12">
      <c r="B89" s="30"/>
      <c r="C89" s="182" t="s">
        <v>122</v>
      </c>
      <c r="G89" s="24">
        <f>IF(H89&lt;=100,H89*1%,IF(H89&lt;=500,1+(H89-100)*0.7%,IF(H89&lt;=1000,3.8+(H89-500)*0.55%,IF(H89&lt;=5000,6.55+(H89-1000)*0.35%,IF(H89&lt;=10000,20.55+(H89-5000)*0.2%,IF(H89&lt;=50000,30.55+(H89-10000)*0.05%,IF(H89&lt;=100000,50.55+(H89-50000)*0.035%,IF(H89&lt;=500000,68.05+(H89-100000)*0.008%,IF(H89&lt;=1000000,100.05+(H89-500000)*0.006%,130.05+(H89-1000000)*0.004%)))))))))</f>
        <v>11.4368166235</v>
      </c>
      <c r="H89" s="168">
        <f>+H17</f>
        <v>2396.233321</v>
      </c>
      <c r="I89" s="168"/>
      <c r="J89" s="193"/>
      <c r="K89" s="70"/>
      <c r="L89" s="24"/>
    </row>
    <row r="90" customHeight="1" spans="2:8">
      <c r="B90" s="30"/>
      <c r="C90" s="166" t="s">
        <v>111</v>
      </c>
      <c r="G90" s="24"/>
      <c r="H90" s="24"/>
    </row>
    <row r="91" customHeight="1" spans="2:12">
      <c r="B91" s="30"/>
      <c r="C91" s="166" t="s">
        <v>123</v>
      </c>
      <c r="G91" s="24">
        <f>SUM(G92:G96)</f>
        <v>4.501566512268</v>
      </c>
      <c r="I91" s="24"/>
      <c r="J91" s="192" t="s">
        <v>124</v>
      </c>
      <c r="K91" s="70"/>
      <c r="L91" s="24"/>
    </row>
    <row r="92" customHeight="1" spans="2:12">
      <c r="B92" s="30"/>
      <c r="C92" s="166" t="s">
        <v>125</v>
      </c>
      <c r="G92" s="24">
        <f>+H92*1.2%</f>
        <v>0.07188699963</v>
      </c>
      <c r="H92" s="24">
        <f>+H38</f>
        <v>5.9905833025</v>
      </c>
      <c r="I92" s="24"/>
      <c r="J92" s="70"/>
      <c r="K92" s="70"/>
      <c r="L92" s="24"/>
    </row>
    <row r="93" customHeight="1" spans="2:12">
      <c r="B93" s="30"/>
      <c r="C93" s="166" t="s">
        <v>126</v>
      </c>
      <c r="G93" s="24">
        <f>+H93*1.2%</f>
        <v>1.01013099519</v>
      </c>
      <c r="H93" s="24">
        <f>+H40</f>
        <v>84.1775829325</v>
      </c>
      <c r="I93" s="24"/>
      <c r="J93" s="70"/>
      <c r="K93" s="70"/>
      <c r="L93" s="24"/>
    </row>
    <row r="94" customHeight="1" spans="2:12">
      <c r="B94" s="30"/>
      <c r="C94" s="166" t="s">
        <v>127</v>
      </c>
      <c r="G94" s="24">
        <f>+H94*1.2%</f>
        <v>0.763315196448</v>
      </c>
      <c r="H94" s="24">
        <f>+H22</f>
        <v>63.609599704</v>
      </c>
      <c r="I94" s="24"/>
      <c r="J94" s="70"/>
      <c r="K94" s="70"/>
      <c r="L94" s="24"/>
    </row>
    <row r="95" customHeight="1" spans="2:12">
      <c r="B95" s="30"/>
      <c r="C95" s="166" t="s">
        <v>128</v>
      </c>
      <c r="G95" s="24">
        <f>IF(H95&lt;=300,H95*0.14%,IF(H95&lt;=1000,0.42+(H95-300)*0.12%,IF(H95&lt;=3000,1.26+(H95-1000)*0.1%,IF(H95&lt;=5000,3.26+(H95-3000)*0.08%,IF(H95&lt;=10000,4.86+(H95-5000)*0.07%,IF(H94&lt;=20000,8.36+(H94-10000)*0.04%,12.36))))))</f>
        <v>2.656233321</v>
      </c>
      <c r="H95" s="24">
        <f>+H17</f>
        <v>2396.233321</v>
      </c>
      <c r="I95" s="24"/>
      <c r="J95" s="70"/>
      <c r="K95" s="70"/>
      <c r="L95" s="24"/>
    </row>
    <row r="96" customHeight="1" spans="2:8">
      <c r="B96" s="30"/>
      <c r="C96" s="166" t="s">
        <v>111</v>
      </c>
      <c r="G96" s="24"/>
      <c r="H96" s="24"/>
    </row>
    <row r="97" customHeight="1" spans="2:12">
      <c r="B97" s="30"/>
      <c r="C97" s="166" t="s">
        <v>129</v>
      </c>
      <c r="G97" s="24">
        <f>SUM(G98:G100)</f>
        <v>5.4715428906125</v>
      </c>
      <c r="I97" s="24"/>
      <c r="J97" s="192" t="s">
        <v>130</v>
      </c>
      <c r="K97" s="70"/>
      <c r="L97" s="24"/>
    </row>
    <row r="98" customHeight="1" spans="2:12">
      <c r="B98" s="30"/>
      <c r="C98" s="166" t="s">
        <v>131</v>
      </c>
      <c r="G98" s="24">
        <f>+H98*3.5%</f>
        <v>0</v>
      </c>
      <c r="H98" s="24"/>
      <c r="I98" s="24"/>
      <c r="J98" s="70"/>
      <c r="K98" s="70"/>
      <c r="L98" s="24"/>
    </row>
    <row r="99" customHeight="1" spans="2:12">
      <c r="B99" s="30"/>
      <c r="C99" s="166" t="s">
        <v>132</v>
      </c>
      <c r="G99" s="24">
        <f>IF(D134&lt;=1000,H99*6.5%,IF(D134&lt;=3000,H99*6%,IF(D134&lt;=5000,H99*5.5%,IF(D134&lt;=10000,H99*5%,H99*4%))))</f>
        <v>5.4715428906125</v>
      </c>
      <c r="H99" s="24">
        <f>+H40</f>
        <v>84.1775829325</v>
      </c>
      <c r="I99" s="24"/>
      <c r="J99" s="70"/>
      <c r="K99" s="70"/>
      <c r="L99" s="24"/>
    </row>
    <row r="100" customHeight="1" spans="2:8">
      <c r="B100" s="30"/>
      <c r="C100" s="166" t="s">
        <v>133</v>
      </c>
      <c r="G100" s="24"/>
      <c r="H100" s="24"/>
    </row>
    <row r="101" customHeight="1" spans="2:12">
      <c r="B101" s="30"/>
      <c r="C101" s="183" t="s">
        <v>134</v>
      </c>
      <c r="G101" s="24">
        <f>SUM(G102:G105)+G104</f>
        <v>64.7577163645</v>
      </c>
      <c r="H101" s="24"/>
      <c r="I101" s="24"/>
      <c r="J101" s="194" t="s">
        <v>135</v>
      </c>
      <c r="K101" s="70"/>
      <c r="L101" s="24"/>
    </row>
    <row r="102" customHeight="1" spans="2:12">
      <c r="B102" s="30"/>
      <c r="C102" s="166" t="s">
        <v>136</v>
      </c>
      <c r="D102" s="168"/>
      <c r="E102" s="168"/>
      <c r="F102" s="168"/>
      <c r="G102" s="24">
        <f>IF(H102&lt;=500,H102*0.26%,IF(H102&lt;=1000,1.3+(H102-500)*0.23%,IF(H102&lt;=5000,2.45+(H102-1000)*0.19%,IF(H102&lt;=10000,10.05+(H102-5000)*0.16%,IF(H102&lt;=50000,18.05+(H102-10000)*0.13%,IF(H102&lt;=100000,70.05+(H102-50000)*0.11%,125.05+(H102-100000)*0.08%))))))</f>
        <v>5.1028433099</v>
      </c>
      <c r="H102" s="24">
        <f>+H17</f>
        <v>2396.233321</v>
      </c>
      <c r="I102" s="191">
        <f>+G102/H102</f>
        <v>0.00212952689756041</v>
      </c>
      <c r="J102" s="70"/>
      <c r="K102" s="70"/>
      <c r="L102" s="24"/>
    </row>
    <row r="103" customHeight="1" spans="2:12">
      <c r="B103" s="30"/>
      <c r="C103" s="166" t="s">
        <v>137</v>
      </c>
      <c r="D103" s="168"/>
      <c r="E103" s="168"/>
      <c r="F103" s="168"/>
      <c r="G103" s="24">
        <f>IF(H103&lt;=500,H103*0.5%,IF(H103&lt;=1000,2.5+(H103-500)*0.46%,IF(H103&lt;=5000,4.8+(H103-1000)*0.4%,IF(H103&lt;=10000,20.8+(H103-5000)*0.35%,IF(H103&lt;=50000,38.3+(H103-10000)*0.3%,IF(H103&lt;=100000,158.3+(H103-50000)*0.24%,278.3+(H103-100000)*0.2%))))))</f>
        <v>10.384933284</v>
      </c>
      <c r="H103" s="24">
        <f>+H17</f>
        <v>2396.233321</v>
      </c>
      <c r="I103" s="191">
        <f>+G103/H103</f>
        <v>0.00433385730554241</v>
      </c>
      <c r="J103" s="70"/>
      <c r="K103" s="70"/>
      <c r="L103" s="24"/>
    </row>
    <row r="104" customHeight="1" spans="2:12">
      <c r="B104" s="30"/>
      <c r="C104" s="166" t="s">
        <v>138</v>
      </c>
      <c r="D104" s="168"/>
      <c r="E104" s="168"/>
      <c r="F104" s="168"/>
      <c r="G104" s="24">
        <f>IF(H104&lt;=500,H104*0.49%,IF(H104&lt;=1000,2.45+(H104-500)*0.44%,IF(H104&lt;=5000,4.65+(H104-1000)*0.38%,IF(H104&lt;=10000,19.85+(H104-5000)*0.33%,IF(H104&lt;=50000,36.35+(H104-10000)*0.28%,IF(H104&lt;=100000,148.35+(H104-50000)*0.22%,258.355+(H104-100000)*0.19%))))))</f>
        <v>9.9556866198</v>
      </c>
      <c r="H104" s="24">
        <f>+H17</f>
        <v>2396.233321</v>
      </c>
      <c r="I104" s="191">
        <f>+G104/H104</f>
        <v>0.00415472338713881</v>
      </c>
      <c r="J104" s="70"/>
      <c r="K104" s="70"/>
      <c r="L104" s="24"/>
    </row>
    <row r="105" customHeight="1" spans="2:12">
      <c r="B105" s="30"/>
      <c r="C105" s="166" t="s">
        <v>139</v>
      </c>
      <c r="D105" s="168"/>
      <c r="E105" s="168"/>
      <c r="F105" s="168"/>
      <c r="G105" s="24">
        <f>IF(H105&lt;=500,H105*1.5%,IF(H105&lt;=1000,7.5+(H105-500)*1.3%,IF(H105&lt;=5000,14+(H105-1000)*1.1%,IF(H105&lt;=10000,58+(H105-5000)*0.9%,IF(H105&lt;=50000,103+(H105-10000)*0.7%,IF(H105&lt;=100000,383+(H105-50000)*0.6%,683+(H105-100000)*0.5%))))))</f>
        <v>29.358566531</v>
      </c>
      <c r="H105" s="24">
        <f>+H17</f>
        <v>2396.233321</v>
      </c>
      <c r="I105" s="191">
        <f>+G105/H105</f>
        <v>0.012251964895784</v>
      </c>
      <c r="J105" s="70"/>
      <c r="K105" s="70"/>
      <c r="L105" s="24"/>
    </row>
    <row r="106" customHeight="1" spans="2:12">
      <c r="B106" s="30"/>
      <c r="C106" s="182" t="s">
        <v>111</v>
      </c>
      <c r="D106" s="168"/>
      <c r="E106" s="168"/>
      <c r="F106" s="168"/>
      <c r="G106" s="168"/>
      <c r="H106" s="168"/>
      <c r="I106" s="168"/>
      <c r="J106" s="193"/>
      <c r="K106" s="70"/>
      <c r="L106" s="24"/>
    </row>
    <row r="107" customHeight="1" spans="2:12">
      <c r="B107" s="30"/>
      <c r="C107" s="166" t="s">
        <v>140</v>
      </c>
      <c r="G107" s="24">
        <f>+G108</f>
        <v>14.377399926</v>
      </c>
      <c r="H107" s="166" t="s">
        <v>141</v>
      </c>
      <c r="I107" s="24"/>
      <c r="J107" s="70"/>
      <c r="K107" s="70"/>
      <c r="L107" s="24"/>
    </row>
    <row r="108" customHeight="1" spans="2:9">
      <c r="B108" s="30"/>
      <c r="C108" s="166" t="s">
        <v>142</v>
      </c>
      <c r="G108" s="24">
        <f>IF(H108&lt;=5000,H108*0.6%,IF(H108&lt;=10000,30+(H108-5000)*22/5000,IF(H108&lt;=20000,52+(H108-10000)*20/10000,IF(H108&lt;=30000,72+(H108-20000)*10/10000,IF(H108&lt;=40000,82+(H108-30000)*13/10000,IF(H108&lt;=50000,95+(H108-10000)*9/10000,IF(H108&lt;=60000,104+(H108-50000)*12/10000,IF(H108&lt;=70000,116+(H108-60000)*3/10000,IF(H108&lt;=80000,119+(H108-70000)*13/10000,IF(H108&lt;=90000,132+(H108-80000)*15/10000,IF(H108&lt;=100000,156+(H108-90000)*15/10000,0)))))))))))+IF(H108&gt;=200000,H108*0.175%,IF(H108&gt;=190000,320+(H108-190000)*30/10000,IF(H108&gt;=180000,290+(H108-180000)*30/10000,IF(H108&gt;=170000,270+(H108-170000)*20/10000,IF(H108&gt;=160000,259+(H108-160000)*11/10000,IF(H108&gt;=150000,245+(H108-150000)*14/10000,IF(H108&gt;=140000,230+(H108-140000)*15/10000,IF(H108&gt;130000,220+(H108-130000)*10/10000,IF(H108&gt;120000,200+(H108-120000)*20/10000,IF(H108&gt;110000,185+(H108-110000)*15/10000,IF(H108&gt;100000,171+(H108-100000)*14/10000,0)))))))))))</f>
        <v>14.377399926</v>
      </c>
      <c r="H108" s="24">
        <f>+H17</f>
        <v>2396.233321</v>
      </c>
      <c r="I108" s="191">
        <f>+G108/H108</f>
        <v>0.006</v>
      </c>
    </row>
    <row r="109" customHeight="1" spans="2:11">
      <c r="B109" s="30"/>
      <c r="C109" s="166" t="s">
        <v>143</v>
      </c>
      <c r="G109" s="24">
        <f>IF(H109&lt;=5000,H109*0.6%,IF(H109&lt;=10000,30+(H109-5000)*30/5000,IF(H109&lt;=20000,60+(H109-10000)*20/10000,IF(H109&lt;=30000,90+(H109-20000)*50/10000,IF(H109&lt;=40000,140+(H109-30000)*40/10000,IF(H109&lt;=50000,180+(H109-10000)*40/10000,IF(H109&lt;=60000,220+(H109-50000)*55/10000,IF(H109&lt;=70000,275+(H109-60000)*35/10000,IF(H109&lt;=80000,310+(H109-70000)*40/10000,IF(H109&lt;=90000,350+(H109-80000)*35/10000,IF(H109&lt;=100000,385+(H109-90000)*35/10000,0)))))))))))+IF(H109&gt;=200000,H109*0.38%,IF(H109&gt;=190000,735+(H109-190000)*25/10000,IF(H109&gt;=180000,710+(H109-180000)*25/10000,IF(H109&gt;=170000,680+(H109-170000)*30/10000,IF(H109&gt;=160000,640+(H109-160000)*40/10000,IF(H109&gt;=150000,600+(H109-150000)*40/10000,IF(H109&gt;=140000,560+(H109-140000)*40/10000,IF(H109&gt;130000,525+(H109-130000)*35/10000,IF(H109&gt;120000,490+(H109-120000)*35/10000,IF(H109&gt;110000,460+(H109-110000)*30/10000,IF(H109&gt;100000,420+(H109-100000)*40/10000,0)))))))))))</f>
        <v>14.377399926</v>
      </c>
      <c r="H109" s="24">
        <f>+H17</f>
        <v>2396.233321</v>
      </c>
      <c r="I109" s="191">
        <f>+G109/H109</f>
        <v>0.006</v>
      </c>
      <c r="J109" s="70"/>
      <c r="K109" s="70"/>
    </row>
    <row r="110" customHeight="1" spans="2:11">
      <c r="B110" s="30"/>
      <c r="C110" s="166" t="s">
        <v>144</v>
      </c>
      <c r="G110" s="24">
        <f>IF(H110&lt;=5000,H110*0.2%,IF(H110&lt;=10000,10+(H110-5000)*8/5000,IF(H110&lt;=20000,18+(H110-10000)*12/10000,IF(H110&lt;=30000,30+(H110-20000)*6/10000,IF(H110&lt;=40000,36+(H110-30000)*6/10000,IF(H110&lt;=50000,42+(H110-10000)*6/10000,IF(H110&lt;=60000,48+(H110-50000)*6/10000,IF(H110&lt;=70000,54+(H110-60000)*6/10000,IF(H110&lt;=80000,60+(H110-70000)*6/10000,IF(H110&lt;=90000,66+(H110-80000)*6/10000,IF(H110&lt;=100000,72+(H110-90000)*6/10000,0)))))))))))+IF(H110&gt;=200000,H110*0.08%,IF(H110&gt;=190000,150+(H110-190000)*10/10000,IF(H110&gt;=180000,144+(H110-180000)*6/10000,IF(H110&gt;=170000,130+(H110-170000)*14/10000,IF(H110&gt;=160000,126+(H110-160000)*4/10000,IF(H110&gt;=150000,119+(H110-150000)*7/10000,IF(H110&gt;=140000,116+(H110-140000)*3/10000,IF(H110&gt;130000,111+(H110-130000)*5/10000,IF(H110&gt;120000,107+(H110-120000)*4/10000,IF(H110&gt;110000,84+(H110-110000)*23/10000,IF(H110&gt;100000,78+(H110-100000)*6/10000,0)))))))))))</f>
        <v>4.792466642</v>
      </c>
      <c r="H110" s="24">
        <f>+H17</f>
        <v>2396.233321</v>
      </c>
      <c r="I110" s="191">
        <f>+G110/H110</f>
        <v>0.002</v>
      </c>
      <c r="J110" s="70"/>
      <c r="K110" s="70"/>
    </row>
    <row r="111" customHeight="1" spans="2:9">
      <c r="B111" s="30"/>
      <c r="C111" s="166" t="s">
        <v>145</v>
      </c>
      <c r="G111" s="24">
        <f>IF(H111&lt;=5000,H111*0.02%,IF(H111&lt;=10000,1+(H111-5000)*0.5/5000,IF(H111&lt;=20000,1.5+(H111-10000)*0.5/10000,IF(H111&lt;=30000,2+(H111-20000)*0.5/10000,IF(H111&lt;=40000,2.5+(H111-30000)*0.4/10000,IF(H111&lt;=50000,2.9+(H111-10000)*0.3/10000,IF(H111&lt;=60000,3.2+(H111-50000)*0.3/10000,IF(H111&lt;=70000,3.5+(H111-60000)*0.3/10000,IF(H111&lt;=80000,3.8+(H111-70000)*0.2/10000,IF(H111&lt;=90000,4+(H111-80000)*0.8/10000,IF(H111&lt;=100000,4.8+(H111-90000)*0.4/10000,0)))))))))))+IF(H111&gt;=200000,H111*0.00475%,IF(H111&gt;=190000,9+(H111-190000)*0.55/10000,IF(H111&gt;=180000,8.5+(H111-180000)*0.5/10000,IF(H111&gt;=170000,8.3+(H111-170000)*0.2/10000,IF(H111&gt;=160000,7.8+(H111-160000)*0.5/10000,IF(H111&gt;=150000,7.5+(H111-150000)*0.3/10000,IF(H111&gt;=140000,7+(H111-140000)*0.5/10000,IF(H111&gt;130000,6.5+(H111-130000)*0.5/10000,IF(H111&gt;120000,6+(H111-120000)*0.5/10000,IF(H111&gt;110000,5.6+(H111-110000)*0.4/10000,IF(H111&gt;100000,5.2+(H111-100000)*0.4/10000,0)))))))))))</f>
        <v>0.4792466642</v>
      </c>
      <c r="H111" s="24">
        <f>+H17</f>
        <v>2396.233321</v>
      </c>
      <c r="I111" s="191">
        <f>+G111/H111</f>
        <v>0.0002</v>
      </c>
    </row>
    <row r="112" customHeight="1" spans="2:11">
      <c r="B112" s="30"/>
      <c r="C112" s="166" t="s">
        <v>146</v>
      </c>
      <c r="G112" s="24">
        <f ca="1">SUM(G113:G118)*K113</f>
        <v>57.1685432084089</v>
      </c>
      <c r="H112" s="24"/>
      <c r="I112" s="191" t="s">
        <v>147</v>
      </c>
      <c r="J112" s="195" t="s">
        <v>148</v>
      </c>
      <c r="K112" s="195" t="s">
        <v>149</v>
      </c>
    </row>
    <row r="113" customHeight="1" spans="2:11">
      <c r="B113" s="30"/>
      <c r="C113" s="166" t="s">
        <v>150</v>
      </c>
      <c r="G113" s="24">
        <f ca="1">G116*0.4</f>
        <v>10.974205919546</v>
      </c>
      <c r="H113" s="24">
        <f ca="1">H65</f>
        <v>4200.88757547099</v>
      </c>
      <c r="I113" s="191">
        <v>0.9</v>
      </c>
      <c r="J113" s="32">
        <v>1</v>
      </c>
      <c r="K113" s="32">
        <v>0.5</v>
      </c>
    </row>
    <row r="114" customHeight="1" spans="2:9">
      <c r="B114" s="30"/>
      <c r="C114" s="166" t="s">
        <v>151</v>
      </c>
      <c r="G114" s="24">
        <f ca="1">G116*0.5</f>
        <v>13.7177573994325</v>
      </c>
      <c r="H114" s="24">
        <f ca="1">H65</f>
        <v>4200.88757547099</v>
      </c>
      <c r="I114" s="191"/>
    </row>
    <row r="115" customHeight="1" spans="2:9">
      <c r="B115" s="30"/>
      <c r="C115" s="166" t="s">
        <v>152</v>
      </c>
      <c r="G115" s="24">
        <f ca="1">G116*0.6</f>
        <v>16.4613088793191</v>
      </c>
      <c r="H115" s="24">
        <f ca="1">H65</f>
        <v>4200.88757547099</v>
      </c>
      <c r="I115" s="191"/>
    </row>
    <row r="116" customHeight="1" spans="2:9">
      <c r="B116" s="30"/>
      <c r="C116" s="166" t="s">
        <v>153</v>
      </c>
      <c r="G116" s="24">
        <f ca="1">+G73</f>
        <v>27.4355147988651</v>
      </c>
      <c r="H116" s="24">
        <f ca="1">H65</f>
        <v>4200.88757547099</v>
      </c>
      <c r="I116" s="191"/>
    </row>
    <row r="117" customHeight="1" spans="2:8">
      <c r="B117" s="30"/>
      <c r="C117" s="166" t="s">
        <v>154</v>
      </c>
      <c r="G117" s="24">
        <f ca="1">IF(H117&lt;10000,24*H117/10000,IF(H117&lt;50000,24+(H117-10000)/40000*12,IF(H117&lt;100000,36+(H117-50000)/50000*12,IF(H117&lt;500000,48+(H117-100000)/400000*24,90))))</f>
        <v>10.0821301811304</v>
      </c>
      <c r="H117" s="24">
        <f ca="1">H65</f>
        <v>4200.88757547099</v>
      </c>
    </row>
    <row r="118" customHeight="1" spans="2:8">
      <c r="B118" s="30"/>
      <c r="C118" s="166" t="s">
        <v>155</v>
      </c>
      <c r="G118" s="24">
        <f ca="1">G116*1.3</f>
        <v>35.6661692385247</v>
      </c>
      <c r="H118" s="24">
        <f ca="1">H65</f>
        <v>4200.88757547099</v>
      </c>
    </row>
    <row r="119" customHeight="1" spans="2:10">
      <c r="B119" s="30"/>
      <c r="C119" s="166" t="s">
        <v>156</v>
      </c>
      <c r="G119" s="24">
        <f ca="1">+IF(H119&lt;5000,H119*0.15%,IF(H119&lt;20000,7.5+(H119-5000)*0.08%,IF(H119&lt;100000,19.5+(H119-20000)*0.03%,IF(H119&lt;500000,43.5+(H119-100000)*0.01%,83.5+(H119-500000)*0.01%))))</f>
        <v>6.30133136320649</v>
      </c>
      <c r="H119" s="24">
        <f ca="1">+H65</f>
        <v>4200.88757547099</v>
      </c>
      <c r="J119" s="194" t="s">
        <v>157</v>
      </c>
    </row>
    <row r="120" customHeight="1" spans="3:8">
      <c r="C120" s="184" t="s">
        <v>158</v>
      </c>
      <c r="G120" s="185">
        <f ca="1">+IF(H120&lt;10000,8,IF(H120&lt;50000,8+(H120-10000)*0.02%,IF(H120&lt;100000,16+(H120-50000)*0.014%,IF(H120&lt;500000,23+(H120-100000)*0.005%,43+(H120-500000)*0.003%))))</f>
        <v>8</v>
      </c>
      <c r="H120" s="24">
        <f ca="1">+H65</f>
        <v>4200.88757547099</v>
      </c>
    </row>
    <row r="121" customHeight="1" spans="2:8">
      <c r="B121" s="30"/>
      <c r="C121" s="166"/>
      <c r="G121" s="24"/>
      <c r="H121" s="24"/>
    </row>
    <row r="122" customHeight="1" spans="2:8">
      <c r="B122" s="30"/>
      <c r="C122" s="166"/>
      <c r="G122" s="24"/>
      <c r="H122" s="24"/>
    </row>
    <row r="123" customHeight="1" spans="2:8">
      <c r="B123" s="30"/>
      <c r="C123" s="166"/>
      <c r="G123" s="24"/>
      <c r="H123" s="24"/>
    </row>
    <row r="124" customHeight="1" spans="2:8">
      <c r="B124" s="30"/>
      <c r="C124" s="166"/>
      <c r="G124" s="24"/>
      <c r="H124" s="24"/>
    </row>
    <row r="126" customHeight="1" spans="2:12">
      <c r="B126" s="30"/>
      <c r="C126" s="24"/>
      <c r="D126" s="30" t="b">
        <f t="shared" ref="D126:L126" si="16">+IF(D129*0.8&lt;=D139,FALSE,TRUE)</f>
        <v>1</v>
      </c>
      <c r="E126" s="30" t="b">
        <f t="shared" si="16"/>
        <v>0</v>
      </c>
      <c r="F126" s="30" t="b">
        <f t="shared" si="16"/>
        <v>0</v>
      </c>
      <c r="G126" s="30" t="b">
        <f t="shared" si="16"/>
        <v>0</v>
      </c>
      <c r="H126" s="30" t="b">
        <f t="shared" si="16"/>
        <v>0</v>
      </c>
      <c r="I126" s="30" t="b">
        <f t="shared" si="16"/>
        <v>0</v>
      </c>
      <c r="J126" s="32" t="b">
        <f t="shared" si="16"/>
        <v>0</v>
      </c>
      <c r="K126" s="32" t="b">
        <f t="shared" si="16"/>
        <v>0</v>
      </c>
      <c r="L126" s="32" t="b">
        <f t="shared" si="16"/>
        <v>0</v>
      </c>
    </row>
    <row r="127" customHeight="1" spans="2:13">
      <c r="B127" s="30"/>
      <c r="C127" s="104" t="s">
        <v>159</v>
      </c>
      <c r="D127" s="186" t="s">
        <v>23</v>
      </c>
      <c r="E127" s="186" t="s">
        <v>160</v>
      </c>
      <c r="F127" s="186" t="s">
        <v>161</v>
      </c>
      <c r="G127" s="186" t="s">
        <v>162</v>
      </c>
      <c r="H127" s="186" t="s">
        <v>163</v>
      </c>
      <c r="I127" s="186" t="s">
        <v>164</v>
      </c>
      <c r="J127" s="196" t="s">
        <v>165</v>
      </c>
      <c r="K127" s="196" t="s">
        <v>166</v>
      </c>
      <c r="L127" s="197" t="s">
        <v>167</v>
      </c>
      <c r="M127" s="186" t="s">
        <v>168</v>
      </c>
    </row>
    <row r="128" customHeight="1" spans="2:13">
      <c r="B128" s="30"/>
      <c r="C128" s="104" t="s">
        <v>169</v>
      </c>
      <c r="D128" s="104">
        <f>H5-G128-K128</f>
        <v>2396.233321</v>
      </c>
      <c r="E128" s="104"/>
      <c r="F128" s="104"/>
      <c r="G128" s="187">
        <v>0</v>
      </c>
      <c r="H128" s="104"/>
      <c r="I128" s="104"/>
      <c r="J128" s="198"/>
      <c r="K128" s="187"/>
      <c r="L128" s="198"/>
      <c r="M128" s="104"/>
    </row>
    <row r="129" customHeight="1" spans="2:13">
      <c r="B129" s="30"/>
      <c r="C129" s="104" t="s">
        <v>170</v>
      </c>
      <c r="D129" s="200">
        <f>+IF(D128=0,0,D130/D128)</f>
        <v>0.0351291262811465</v>
      </c>
      <c r="E129" s="200">
        <f t="shared" ref="E129:M129" si="17">+IF(E128=0,0,E130/E128)</f>
        <v>0</v>
      </c>
      <c r="F129" s="200">
        <f t="shared" si="17"/>
        <v>0</v>
      </c>
      <c r="G129" s="200">
        <f t="shared" si="17"/>
        <v>0</v>
      </c>
      <c r="H129" s="200">
        <f t="shared" si="17"/>
        <v>0</v>
      </c>
      <c r="I129" s="200">
        <f t="shared" si="17"/>
        <v>0</v>
      </c>
      <c r="J129" s="200">
        <f t="shared" si="17"/>
        <v>0</v>
      </c>
      <c r="K129" s="200">
        <f t="shared" si="17"/>
        <v>0</v>
      </c>
      <c r="L129" s="200">
        <f t="shared" si="17"/>
        <v>0</v>
      </c>
      <c r="M129" s="200">
        <f t="shared" si="17"/>
        <v>0</v>
      </c>
    </row>
    <row r="130" customHeight="1" spans="2:13">
      <c r="B130" s="30"/>
      <c r="C130" s="104" t="s">
        <v>171</v>
      </c>
      <c r="D130" s="104">
        <f>IF(D128&lt;=200,D128*0.045,IF(D128&lt;=500,9+(D128-200)*11.9/300,IF(D128&lt;=1000,20.9+(D128-500)*17.9/500,IF(D128&lt;=3000,38.8+(D128-1000)*65/2000,IF(D128&lt;=5000,103.8+(D128-3000)*60.1/2000,IF(D128&lt;=8000,163.9+(D128-5000)*85.7/3000,IF(D128&lt;=10000,249.6+(D128-8000)*55.2/2000,IF(D128&lt;=20000,304.8+(D128-10000)*262/10000,0))))))))+IF(D128&gt;=600000,11897.5+(D128-600000)*3493.9/200000,IF(D128&gt;=400000,8276.7+(D128-400000)*3620.8/200000,IF(D128&gt;=200000,4450.8+(D128-200000)*3825.9/200000,IF(D128&gt;=100000,2393.4+(D128-100000)*2057.4/100000,IF(D128&gt;=80000,1960.1+(D128-80000)*433.3/20000,IF(D128&gt;=60000,1515.2+(D128-60000)*444.9/20000,IF(D128&gt;=40000,1054+(D128-40000)*461.2/20000,IF(D128&gt;20000,566.8+(D128-20000)*487.2/20000,0))))))))</f>
        <v>84.1775829325</v>
      </c>
      <c r="E130" s="104">
        <f t="shared" ref="E130:M130" si="18">IF(E128&lt;=200,E128*0.045,IF(E128&lt;=500,9+(E128-200)*11.9/300,IF(E128&lt;=1000,20.9+(E128-500)*17.9/500,IF(E128&lt;=3000,38.8+(E128-1000)*65/2000,IF(E128&lt;=5000,103.8+(E128-3000)*60.1/2000,IF(E128&lt;=8000,163.9+(E128-5000)*85.7/3000,IF(E128&lt;=10000,249.6+(E128-8000)*55.2/2000,IF(E128&lt;=20000,304.8+(E128-10000)*262/10000,0))))))))+IF(E128&gt;=600000,11897.5+(E128-600000)*3493.9/200000,IF(E128&gt;=400000,8276.7+(E128-400000)*3620.8/200000,IF(E128&gt;=200000,4450.8+(E128-200000)*3825.9/200000,IF(E128&gt;=100000,2393.4+(E128-100000)*2057.4/100000,IF(E128&gt;=80000,1960.1+(E128-80000)*433.3/20000,IF(E128&gt;=60000,1515.2+(E128-60000)*444.9/20000,IF(E128&gt;=40000,1054+(E128-40000)*461.2/20000,IF(E128&gt;20000,566.8+(E128-20000)*487.2/20000,0))))))))</f>
        <v>0</v>
      </c>
      <c r="F130" s="104">
        <f t="shared" si="18"/>
        <v>0</v>
      </c>
      <c r="G130" s="104">
        <f t="shared" si="18"/>
        <v>0</v>
      </c>
      <c r="H130" s="104">
        <f t="shared" si="18"/>
        <v>0</v>
      </c>
      <c r="I130" s="104">
        <f t="shared" si="18"/>
        <v>0</v>
      </c>
      <c r="J130" s="198">
        <f t="shared" si="18"/>
        <v>0</v>
      </c>
      <c r="K130" s="198">
        <f t="shared" si="18"/>
        <v>0</v>
      </c>
      <c r="L130" s="197">
        <f t="shared" si="18"/>
        <v>0</v>
      </c>
      <c r="M130" s="104">
        <f t="shared" si="18"/>
        <v>0</v>
      </c>
    </row>
    <row r="131" customHeight="1" spans="2:13">
      <c r="B131" s="30"/>
      <c r="C131" s="104" t="s">
        <v>172</v>
      </c>
      <c r="D131" s="104">
        <v>1</v>
      </c>
      <c r="E131" s="104">
        <v>1</v>
      </c>
      <c r="F131" s="104">
        <v>1</v>
      </c>
      <c r="G131" s="104">
        <v>1</v>
      </c>
      <c r="H131" s="104">
        <v>0.9</v>
      </c>
      <c r="I131" s="104">
        <v>1.1</v>
      </c>
      <c r="J131" s="104">
        <v>1</v>
      </c>
      <c r="K131" s="104">
        <v>1</v>
      </c>
      <c r="L131" s="197">
        <v>1.1</v>
      </c>
      <c r="M131" s="104">
        <v>1.1</v>
      </c>
    </row>
    <row r="132" customHeight="1" spans="2:13">
      <c r="B132" s="30"/>
      <c r="C132" s="104" t="s">
        <v>148</v>
      </c>
      <c r="D132" s="104">
        <v>1</v>
      </c>
      <c r="E132" s="104">
        <v>1.15</v>
      </c>
      <c r="F132" s="104">
        <v>1</v>
      </c>
      <c r="G132" s="104">
        <v>1.15</v>
      </c>
      <c r="H132" s="104">
        <f>+D132</f>
        <v>1</v>
      </c>
      <c r="I132" s="104">
        <v>1</v>
      </c>
      <c r="J132" s="104">
        <v>1.15</v>
      </c>
      <c r="K132" s="104">
        <v>1</v>
      </c>
      <c r="L132" s="197">
        <v>1</v>
      </c>
      <c r="M132" s="104">
        <v>0.85</v>
      </c>
    </row>
    <row r="133" customHeight="1" spans="2:13">
      <c r="B133" s="30"/>
      <c r="C133" s="104" t="s">
        <v>173</v>
      </c>
      <c r="D133" s="104">
        <v>1</v>
      </c>
      <c r="E133" s="104">
        <v>1</v>
      </c>
      <c r="F133" s="104">
        <v>1</v>
      </c>
      <c r="G133" s="104">
        <v>1</v>
      </c>
      <c r="H133" s="104">
        <v>1</v>
      </c>
      <c r="I133" s="104">
        <v>1</v>
      </c>
      <c r="J133" s="104">
        <v>1</v>
      </c>
      <c r="K133" s="104">
        <v>1</v>
      </c>
      <c r="L133" s="197">
        <v>1.1</v>
      </c>
      <c r="M133" s="104">
        <v>1</v>
      </c>
    </row>
    <row r="134" customHeight="1" spans="2:13">
      <c r="B134" s="30"/>
      <c r="C134" s="104" t="s">
        <v>174</v>
      </c>
      <c r="D134" s="201">
        <f>D130*D131*D132*D133</f>
        <v>84.1775829325</v>
      </c>
      <c r="E134" s="201">
        <f t="shared" ref="E134:M134" si="19">E130*E131*E132*E133</f>
        <v>0</v>
      </c>
      <c r="F134" s="201">
        <f t="shared" si="19"/>
        <v>0</v>
      </c>
      <c r="G134" s="201">
        <f t="shared" si="19"/>
        <v>0</v>
      </c>
      <c r="H134" s="201"/>
      <c r="I134" s="201"/>
      <c r="J134" s="201"/>
      <c r="K134" s="208">
        <f t="shared" si="19"/>
        <v>0</v>
      </c>
      <c r="L134" s="208">
        <f t="shared" si="19"/>
        <v>0</v>
      </c>
      <c r="M134" s="201">
        <f t="shared" si="19"/>
        <v>0</v>
      </c>
    </row>
    <row r="135" customHeight="1" spans="2:13">
      <c r="B135" s="30"/>
      <c r="C135" s="104" t="s">
        <v>12</v>
      </c>
      <c r="D135" s="104">
        <f>SUM(D128:M128)</f>
        <v>2396.233321</v>
      </c>
      <c r="E135" s="202"/>
      <c r="F135" s="202"/>
      <c r="G135" s="202"/>
      <c r="H135" s="202">
        <f>SUM(D130:M130)</f>
        <v>84.1775829325</v>
      </c>
      <c r="I135" s="202"/>
      <c r="J135" s="209"/>
      <c r="K135" s="209"/>
      <c r="L135" s="104"/>
      <c r="M135" s="210">
        <f>+H135/D135</f>
        <v>0.0351291262811465</v>
      </c>
    </row>
    <row r="136" customHeight="1" spans="2:10">
      <c r="B136" s="30"/>
      <c r="I136" s="24"/>
      <c r="J136" s="70"/>
    </row>
    <row r="138" customHeight="1" spans="2:13">
      <c r="B138" s="30"/>
      <c r="C138" s="104" t="s">
        <v>169</v>
      </c>
      <c r="D138" s="104">
        <f>D135</f>
        <v>2396.233321</v>
      </c>
      <c r="E138" s="104"/>
      <c r="F138" s="104"/>
      <c r="G138" s="104"/>
      <c r="H138" s="104"/>
      <c r="I138" s="104"/>
      <c r="J138" s="198"/>
      <c r="K138" s="198"/>
      <c r="L138" s="197">
        <f>+L128</f>
        <v>0</v>
      </c>
      <c r="M138" s="104">
        <f>+M128</f>
        <v>0</v>
      </c>
    </row>
    <row r="139" customHeight="1" spans="2:13">
      <c r="B139" s="30"/>
      <c r="C139" s="104" t="s">
        <v>175</v>
      </c>
      <c r="D139" s="200">
        <f t="shared" ref="D139:M139" si="20">+IF(D138=0,0,D140/D138)</f>
        <v>0.0265456619547609</v>
      </c>
      <c r="E139" s="200">
        <f t="shared" si="20"/>
        <v>0</v>
      </c>
      <c r="F139" s="200">
        <f t="shared" si="20"/>
        <v>0</v>
      </c>
      <c r="G139" s="200">
        <f t="shared" si="20"/>
        <v>0</v>
      </c>
      <c r="H139" s="200">
        <f t="shared" si="20"/>
        <v>0</v>
      </c>
      <c r="I139" s="200">
        <f t="shared" si="20"/>
        <v>0</v>
      </c>
      <c r="J139" s="211">
        <f t="shared" si="20"/>
        <v>0</v>
      </c>
      <c r="K139" s="211">
        <f t="shared" si="20"/>
        <v>0</v>
      </c>
      <c r="L139" s="210">
        <f t="shared" si="20"/>
        <v>0</v>
      </c>
      <c r="M139" s="200">
        <f t="shared" si="20"/>
        <v>0</v>
      </c>
    </row>
    <row r="140" customHeight="1" spans="2:13">
      <c r="B140" s="30"/>
      <c r="C140" s="104" t="s">
        <v>176</v>
      </c>
      <c r="D140" s="104">
        <f t="shared" ref="D140:M140" si="21">IF(D138&lt;=500,D138*3.3%,IF(D138&lt;=1000,16.5+(D138-500)*13.6/500,IF(D138&lt;=3000,30.1+(D138-1000)*48/2000,IF(D138&lt;=5000,78.1+(D138-3000)*42.7/2000,IF(D138&lt;=8000,120.8+(D138-5000)*60.2/3000,IF(D138&lt;=10000,181+(D138-8000)*37.6/2000,IF(D138&lt;=20000,218.6+(D138-10000)*174.8/10000,IF(D138&lt;=40000,393.4+(D138-20000)*314.8/20000,0))))))))+IF(D138&gt;=800000,8658.4+(D138-800000)*1731.7/200000,IF(D138&gt;=600000,6835.6+(D138-600000)*1822.8/200000,IF(D138&gt;=400000,4882.6+(D138-400000)*1953/200000,IF(D138&gt;=200000,2712.5+(D138-200000)*2170.1/200000,IF(D138&gt;=100000,1507+(D138-100000)*1205.5/100000,IF(D138&gt;=80000,1255.8+(D138-80000)*251.2/20000,IF(D138&gt;=60000,991.4+(D138-60000)*264.4/20000,IF(D138&gt;40000,708.2+(D138-40000)*283.2/20000,))))))))</f>
        <v>63.609599704</v>
      </c>
      <c r="E140" s="104">
        <f t="shared" si="21"/>
        <v>0</v>
      </c>
      <c r="F140" s="104">
        <f t="shared" si="21"/>
        <v>0</v>
      </c>
      <c r="G140" s="104">
        <f t="shared" si="21"/>
        <v>0</v>
      </c>
      <c r="H140" s="104">
        <f t="shared" si="21"/>
        <v>0</v>
      </c>
      <c r="I140" s="104">
        <f t="shared" si="21"/>
        <v>0</v>
      </c>
      <c r="J140" s="198">
        <f t="shared" si="21"/>
        <v>0</v>
      </c>
      <c r="K140" s="198">
        <f t="shared" si="21"/>
        <v>0</v>
      </c>
      <c r="L140" s="197">
        <f t="shared" si="21"/>
        <v>0</v>
      </c>
      <c r="M140" s="104">
        <f t="shared" si="21"/>
        <v>0</v>
      </c>
    </row>
    <row r="141" customHeight="1" spans="2:13">
      <c r="B141" s="30"/>
      <c r="C141" s="104" t="s">
        <v>172</v>
      </c>
      <c r="D141" s="104">
        <v>1</v>
      </c>
      <c r="E141" s="104">
        <f>+E131</f>
        <v>1</v>
      </c>
      <c r="F141" s="104">
        <f>+F131</f>
        <v>1</v>
      </c>
      <c r="G141" s="104">
        <f t="shared" ref="G141:M141" si="22">+G131</f>
        <v>1</v>
      </c>
      <c r="H141" s="104">
        <f t="shared" si="22"/>
        <v>0.9</v>
      </c>
      <c r="I141" s="104">
        <v>0.8</v>
      </c>
      <c r="J141" s="198">
        <f t="shared" si="22"/>
        <v>1</v>
      </c>
      <c r="K141" s="198">
        <f t="shared" si="22"/>
        <v>1</v>
      </c>
      <c r="L141" s="197">
        <f t="shared" si="22"/>
        <v>1.1</v>
      </c>
      <c r="M141" s="104">
        <f t="shared" si="22"/>
        <v>1.1</v>
      </c>
    </row>
    <row r="142" customHeight="1" spans="2:13">
      <c r="B142" s="30"/>
      <c r="C142" s="104" t="s">
        <v>148</v>
      </c>
      <c r="D142" s="104">
        <v>1</v>
      </c>
      <c r="E142" s="104">
        <v>1</v>
      </c>
      <c r="F142" s="104">
        <v>1</v>
      </c>
      <c r="G142" s="104">
        <v>1</v>
      </c>
      <c r="H142" s="104">
        <f t="shared" ref="H142:M142" si="23">+H132</f>
        <v>1</v>
      </c>
      <c r="I142" s="104">
        <v>1</v>
      </c>
      <c r="J142" s="198">
        <f t="shared" si="23"/>
        <v>1.15</v>
      </c>
      <c r="K142" s="198">
        <f t="shared" si="23"/>
        <v>1</v>
      </c>
      <c r="L142" s="197">
        <f t="shared" si="23"/>
        <v>1</v>
      </c>
      <c r="M142" s="104">
        <f t="shared" si="23"/>
        <v>0.85</v>
      </c>
    </row>
    <row r="143" customHeight="1" spans="2:13">
      <c r="B143" s="30"/>
      <c r="C143" s="104" t="s">
        <v>173</v>
      </c>
      <c r="D143" s="104">
        <v>1</v>
      </c>
      <c r="E143" s="104">
        <f t="shared" ref="E143:M143" si="24">+E133</f>
        <v>1</v>
      </c>
      <c r="F143" s="104">
        <f t="shared" si="24"/>
        <v>1</v>
      </c>
      <c r="G143" s="104">
        <f t="shared" si="24"/>
        <v>1</v>
      </c>
      <c r="H143" s="104">
        <f t="shared" si="24"/>
        <v>1</v>
      </c>
      <c r="I143" s="104">
        <f t="shared" si="24"/>
        <v>1</v>
      </c>
      <c r="J143" s="104">
        <f t="shared" si="24"/>
        <v>1</v>
      </c>
      <c r="K143" s="104">
        <f t="shared" si="24"/>
        <v>1</v>
      </c>
      <c r="L143" s="197">
        <f t="shared" si="24"/>
        <v>1.1</v>
      </c>
      <c r="M143" s="104">
        <f t="shared" si="24"/>
        <v>1</v>
      </c>
    </row>
    <row r="144" customHeight="1" spans="2:13">
      <c r="B144" s="30"/>
      <c r="C144" s="104" t="s">
        <v>177</v>
      </c>
      <c r="D144" s="201">
        <f>D140*D141*D142*D143</f>
        <v>63.609599704</v>
      </c>
      <c r="E144" s="201"/>
      <c r="F144" s="201"/>
      <c r="G144" s="201"/>
      <c r="H144" s="201"/>
      <c r="I144" s="201"/>
      <c r="J144" s="208"/>
      <c r="K144" s="208"/>
      <c r="L144" s="212"/>
      <c r="M144" s="201">
        <f>M140*M141*M142*M143</f>
        <v>0</v>
      </c>
    </row>
    <row r="145" customHeight="1" spans="2:13">
      <c r="B145" s="30"/>
      <c r="C145" s="104" t="s">
        <v>12</v>
      </c>
      <c r="D145" s="104">
        <f>+D138</f>
        <v>2396.233321</v>
      </c>
      <c r="E145" s="202"/>
      <c r="F145" s="202"/>
      <c r="G145" s="202"/>
      <c r="H145" s="202">
        <f>SUM(D140:M140)</f>
        <v>63.609599704</v>
      </c>
      <c r="I145" s="202"/>
      <c r="J145" s="209"/>
      <c r="K145" s="209"/>
      <c r="L145" s="104"/>
      <c r="M145" s="210">
        <f>+H145/D145</f>
        <v>0.0265456619547609</v>
      </c>
    </row>
    <row r="146" customHeight="1" spans="2:12">
      <c r="B146" s="30"/>
      <c r="H146" s="203"/>
      <c r="I146" s="203"/>
      <c r="J146" s="213"/>
      <c r="K146" s="213"/>
      <c r="L146" s="203"/>
    </row>
    <row r="147" customHeight="1" spans="8:12">
      <c r="H147" s="203"/>
      <c r="I147" s="203"/>
      <c r="J147" s="213"/>
      <c r="K147" s="213"/>
      <c r="L147" s="203"/>
    </row>
    <row r="148" customHeight="1" spans="3:11">
      <c r="C148" s="17"/>
      <c r="D148" s="104" t="s">
        <v>178</v>
      </c>
      <c r="E148" s="6"/>
      <c r="F148" s="6"/>
      <c r="G148" s="104"/>
      <c r="H148" s="6"/>
      <c r="I148" s="6"/>
      <c r="J148" s="198"/>
      <c r="K148" s="214">
        <v>0.049</v>
      </c>
    </row>
    <row r="149" customHeight="1" spans="3:11">
      <c r="C149" s="17"/>
      <c r="D149" s="104">
        <f ca="1">H63*0.7</f>
        <v>2940.6213028297</v>
      </c>
      <c r="E149" s="104">
        <f ca="1">+D149*E148</f>
        <v>0</v>
      </c>
      <c r="F149" s="104">
        <f ca="1">+D149*F148</f>
        <v>0</v>
      </c>
      <c r="G149" s="104"/>
      <c r="H149" s="104"/>
      <c r="I149" s="104"/>
      <c r="J149" s="198"/>
      <c r="K149" s="198"/>
    </row>
    <row r="150" customHeight="1" spans="3:11">
      <c r="C150" s="104"/>
      <c r="D150" s="104"/>
      <c r="E150" s="104">
        <f ca="1">+E149/2*K148</f>
        <v>0</v>
      </c>
      <c r="F150" s="104">
        <f ca="1">+(E149+F149/2)*K148</f>
        <v>0</v>
      </c>
      <c r="G150" s="104"/>
      <c r="H150" s="104"/>
      <c r="I150" s="104"/>
      <c r="J150" s="198"/>
      <c r="K150" s="198">
        <f ca="1">SUM(E150:J150)</f>
        <v>0</v>
      </c>
    </row>
    <row r="152" customHeight="1" spans="2:6">
      <c r="B152" s="204" t="s">
        <v>2</v>
      </c>
      <c r="C152" s="205" t="s">
        <v>179</v>
      </c>
      <c r="D152" s="205" t="s">
        <v>180</v>
      </c>
      <c r="E152" s="205" t="s">
        <v>181</v>
      </c>
      <c r="F152" s="205" t="s">
        <v>6</v>
      </c>
    </row>
    <row r="153" customHeight="1" spans="2:6">
      <c r="B153" s="204">
        <v>1</v>
      </c>
      <c r="C153" s="205" t="s">
        <v>182</v>
      </c>
      <c r="D153" s="206">
        <f>H5</f>
        <v>2396.233321</v>
      </c>
      <c r="E153" s="207">
        <f ca="1">D153/$D$156</f>
        <v>0.57041119952641</v>
      </c>
      <c r="F153" s="205"/>
    </row>
    <row r="154" customHeight="1" spans="2:6">
      <c r="B154" s="204">
        <v>2</v>
      </c>
      <c r="C154" s="205" t="s">
        <v>183</v>
      </c>
      <c r="D154" s="206">
        <f ca="1">H58</f>
        <v>1658.09246516285</v>
      </c>
      <c r="E154" s="207">
        <f ca="1">D154/$D$156</f>
        <v>0.394700509207736</v>
      </c>
      <c r="F154" s="205"/>
    </row>
    <row r="155" customHeight="1" spans="2:6">
      <c r="B155" s="204">
        <v>3</v>
      </c>
      <c r="C155" s="205" t="s">
        <v>184</v>
      </c>
      <c r="D155" s="206">
        <f ca="1">H60</f>
        <v>146.561789308143</v>
      </c>
      <c r="E155" s="207">
        <f ca="1">D155/$D$156</f>
        <v>0.0348882912658548</v>
      </c>
      <c r="F155" s="205"/>
    </row>
    <row r="156" customHeight="1" spans="2:6">
      <c r="B156" s="204">
        <v>4</v>
      </c>
      <c r="C156" s="205" t="s">
        <v>185</v>
      </c>
      <c r="D156" s="206">
        <f ca="1">H65</f>
        <v>4200.88757547099</v>
      </c>
      <c r="E156" s="207">
        <f ca="1">D156/$D$156</f>
        <v>1</v>
      </c>
      <c r="F156" s="205"/>
    </row>
  </sheetData>
  <autoFilter ref="C3:C120">
    <extLst/>
  </autoFilter>
  <mergeCells count="6">
    <mergeCell ref="B1:L1"/>
    <mergeCell ref="D3:H3"/>
    <mergeCell ref="I3:K3"/>
    <mergeCell ref="B3:B4"/>
    <mergeCell ref="C3:C4"/>
    <mergeCell ref="L3:L4"/>
  </mergeCells>
  <conditionalFormatting sqref="H5">
    <cfRule type="cellIs" dxfId="0" priority="33" operator="notEqual">
      <formula>SUM($D$5:$G$5)</formula>
    </cfRule>
  </conditionalFormatting>
  <conditionalFormatting sqref="L129">
    <cfRule type="cellIs" dxfId="1" priority="30" stopIfTrue="1" operator="greaterThanOrEqual">
      <formula>20000</formula>
    </cfRule>
  </conditionalFormatting>
  <conditionalFormatting sqref="L130">
    <cfRule type="cellIs" dxfId="1" priority="29" stopIfTrue="1" operator="greaterThanOrEqual">
      <formula>20000</formula>
    </cfRule>
  </conditionalFormatting>
  <conditionalFormatting sqref="M135">
    <cfRule type="cellIs" dxfId="0" priority="32" operator="lessThan">
      <formula>0.03</formula>
    </cfRule>
  </conditionalFormatting>
  <conditionalFormatting sqref="L139">
    <cfRule type="cellIs" dxfId="1" priority="27" stopIfTrue="1" operator="greaterThanOrEqual">
      <formula>20000</formula>
    </cfRule>
  </conditionalFormatting>
  <conditionalFormatting sqref="L139:L140">
    <cfRule type="cellIs" dxfId="1" priority="28" stopIfTrue="1" operator="greaterThanOrEqual">
      <formula>40000</formula>
    </cfRule>
  </conditionalFormatting>
  <conditionalFormatting sqref="M70 D126:L126">
    <cfRule type="cellIs" dxfId="2" priority="37" stopIfTrue="1" operator="equal">
      <formula>FALSE</formula>
    </cfRule>
  </conditionalFormatting>
  <conditionalFormatting sqref="D129:K130 M139 M129:M130 D139:K139">
    <cfRule type="cellIs" dxfId="1" priority="35" stopIfTrue="1" operator="greaterThanOrEqual">
      <formula>20000</formula>
    </cfRule>
  </conditionalFormatting>
  <conditionalFormatting sqref="D139:K140 M139:M140">
    <cfRule type="cellIs" dxfId="1" priority="36" stopIfTrue="1" operator="greaterThanOrEqual">
      <formula>40000</formula>
    </cfRule>
  </conditionalFormatting>
  <printOptions horizontalCentered="1"/>
  <pageMargins left="0.707638888888889" right="0.590277777777778" top="0.984027777777778" bottom="0.786805555555556" header="0.313888888888889" footer="0.313888888888889"/>
  <pageSetup paperSize="9" orientation="landscape" blackAndWhite="1"/>
  <headerFooter/>
  <ignoredErrors>
    <ignoredError sqref="H17" formula="1"/>
    <ignoredError sqref="H124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R65"/>
  <sheetViews>
    <sheetView showGridLines="0" showZeros="0" topLeftCell="B1" workbookViewId="0">
      <pane xSplit="1" ySplit="5" topLeftCell="C26" activePane="bottomRight" state="frozen"/>
      <selection/>
      <selection pane="topRight"/>
      <selection pane="bottomLeft"/>
      <selection pane="bottomRight" activeCell="G32" sqref="G32"/>
    </sheetView>
  </sheetViews>
  <sheetFormatPr defaultColWidth="9" defaultRowHeight="18" customHeight="1"/>
  <cols>
    <col min="1" max="1" width="9" style="30"/>
    <col min="2" max="2" width="5.50833333333333" style="31" customWidth="1"/>
    <col min="3" max="3" width="32.5083333333333" style="30" customWidth="1"/>
    <col min="4" max="4" width="10.1333333333333" style="30" customWidth="1"/>
    <col min="5" max="5" width="8.50833333333333" style="30" customWidth="1"/>
    <col min="6" max="6" width="9.13333333333333" style="30" customWidth="1"/>
    <col min="7" max="8" width="9.88333333333333" style="30" customWidth="1"/>
    <col min="9" max="9" width="9.50833333333333" style="30" customWidth="1"/>
    <col min="10" max="10" width="8.88333333333333" style="32" customWidth="1"/>
    <col min="11" max="11" width="10.3833333333333" style="32" customWidth="1"/>
    <col min="12" max="12" width="18.6333333333333" style="30" customWidth="1"/>
    <col min="13" max="13" width="13.8166666666667" style="30" customWidth="1"/>
    <col min="14" max="14" width="24.55" style="30" customWidth="1"/>
    <col min="15" max="15" width="14.9916666666667" style="30" customWidth="1"/>
    <col min="16" max="16" width="15.4416666666667" style="30" customWidth="1"/>
    <col min="17" max="17" width="24.55" style="30" customWidth="1"/>
    <col min="18" max="18" width="16.6166666666667" style="30" customWidth="1"/>
    <col min="19" max="19" width="10.5833333333333" style="30" customWidth="1"/>
    <col min="20" max="16384" width="9" style="30"/>
  </cols>
  <sheetData>
    <row r="1" s="24" customFormat="1" ht="27" customHeight="1" spans="2:13">
      <c r="B1" s="33" t="s">
        <v>0</v>
      </c>
      <c r="C1" s="34"/>
      <c r="D1" s="34"/>
      <c r="E1" s="34"/>
      <c r="F1" s="34"/>
      <c r="G1" s="34"/>
      <c r="H1" s="34"/>
      <c r="I1" s="66"/>
      <c r="J1" s="67"/>
      <c r="K1" s="68"/>
      <c r="L1" s="69"/>
      <c r="M1" s="69"/>
    </row>
    <row r="2" s="24" customFormat="1" customHeight="1" spans="2:11">
      <c r="B2" s="215" t="s">
        <v>1</v>
      </c>
      <c r="C2" s="36"/>
      <c r="D2" s="36"/>
      <c r="E2" s="36"/>
      <c r="F2" s="36"/>
      <c r="G2" s="36"/>
      <c r="H2" s="36"/>
      <c r="I2" s="36"/>
      <c r="J2" s="70"/>
      <c r="K2" s="70"/>
    </row>
    <row r="3" s="24" customFormat="1" ht="20.25" customHeight="1" spans="2:12">
      <c r="B3" s="37" t="s">
        <v>2</v>
      </c>
      <c r="C3" s="6" t="s">
        <v>3</v>
      </c>
      <c r="D3" s="6" t="s">
        <v>4</v>
      </c>
      <c r="E3" s="6"/>
      <c r="F3" s="6"/>
      <c r="G3" s="6"/>
      <c r="H3" s="6"/>
      <c r="I3" s="6" t="s">
        <v>5</v>
      </c>
      <c r="J3" s="21"/>
      <c r="K3" s="21"/>
      <c r="L3" s="6" t="s">
        <v>6</v>
      </c>
    </row>
    <row r="4" s="24" customFormat="1" ht="25.5" customHeight="1" spans="2:12">
      <c r="B4" s="37"/>
      <c r="C4" s="6"/>
      <c r="D4" s="38" t="s">
        <v>8</v>
      </c>
      <c r="E4" s="38" t="s">
        <v>9</v>
      </c>
      <c r="F4" s="38" t="s">
        <v>10</v>
      </c>
      <c r="G4" s="38" t="s">
        <v>11</v>
      </c>
      <c r="H4" s="38" t="s">
        <v>12</v>
      </c>
      <c r="I4" s="38" t="s">
        <v>13</v>
      </c>
      <c r="J4" s="71" t="s">
        <v>14</v>
      </c>
      <c r="K4" s="71" t="s">
        <v>15</v>
      </c>
      <c r="L4" s="6"/>
    </row>
    <row r="5" s="24" customFormat="1" customHeight="1" spans="2:15">
      <c r="B5" s="37"/>
      <c r="C5" s="39" t="s">
        <v>19</v>
      </c>
      <c r="D5" s="40">
        <v>2169.869763</v>
      </c>
      <c r="E5" s="40">
        <v>0</v>
      </c>
      <c r="F5" s="40">
        <v>0</v>
      </c>
      <c r="G5" s="40">
        <v>0</v>
      </c>
      <c r="H5" s="40">
        <v>2169.869763</v>
      </c>
      <c r="I5" s="49"/>
      <c r="J5" s="72"/>
      <c r="K5" s="72"/>
      <c r="L5" s="49">
        <v>2067.66</v>
      </c>
      <c r="M5" s="162"/>
      <c r="N5" s="24">
        <f>H5-L5</f>
        <v>102.209763</v>
      </c>
      <c r="O5" s="24">
        <f>N5/L5</f>
        <v>0.0494325774063435</v>
      </c>
    </row>
    <row r="6" s="24" customFormat="1" customHeight="1" spans="2:13">
      <c r="B6" s="37" t="s">
        <v>20</v>
      </c>
      <c r="C6" s="41" t="s">
        <v>21</v>
      </c>
      <c r="D6" s="40"/>
      <c r="E6" s="40"/>
      <c r="F6" s="40"/>
      <c r="G6" s="40"/>
      <c r="H6" s="40">
        <v>449.715372</v>
      </c>
      <c r="I6" s="40" t="s">
        <v>22</v>
      </c>
      <c r="J6" s="73">
        <v>5278.35</v>
      </c>
      <c r="K6" s="73">
        <v>851.999909062491</v>
      </c>
      <c r="L6" s="49"/>
      <c r="M6" s="162"/>
    </row>
    <row r="7" s="24" customFormat="1" customHeight="1" spans="2:13">
      <c r="B7" s="37">
        <v>1</v>
      </c>
      <c r="C7" s="23" t="s">
        <v>23</v>
      </c>
      <c r="D7" s="42">
        <v>359.102572</v>
      </c>
      <c r="E7" s="43"/>
      <c r="F7" s="43"/>
      <c r="G7" s="44"/>
      <c r="H7" s="44">
        <v>359.102572</v>
      </c>
      <c r="I7" s="6" t="s">
        <v>22</v>
      </c>
      <c r="J7" s="72">
        <v>5278.35</v>
      </c>
      <c r="K7" s="21">
        <v>680.33111104796</v>
      </c>
      <c r="L7" s="49">
        <v>252.33</v>
      </c>
      <c r="M7" s="162"/>
    </row>
    <row r="8" s="24" customFormat="1" customHeight="1" spans="2:13">
      <c r="B8" s="37">
        <v>2</v>
      </c>
      <c r="C8" s="23" t="s">
        <v>24</v>
      </c>
      <c r="D8" s="42">
        <v>39.076543</v>
      </c>
      <c r="E8" s="43"/>
      <c r="F8" s="43"/>
      <c r="G8" s="44"/>
      <c r="H8" s="44">
        <v>39.076543</v>
      </c>
      <c r="I8" s="6" t="s">
        <v>22</v>
      </c>
      <c r="J8" s="72">
        <v>5278.35</v>
      </c>
      <c r="K8" s="21">
        <v>74.0317390851308</v>
      </c>
      <c r="L8" s="49">
        <v>11.96</v>
      </c>
      <c r="M8" s="162"/>
    </row>
    <row r="9" s="24" customFormat="1" customHeight="1" spans="2:13">
      <c r="B9" s="37">
        <v>3</v>
      </c>
      <c r="C9" s="23" t="s">
        <v>25</v>
      </c>
      <c r="D9" s="42">
        <v>2.407351</v>
      </c>
      <c r="E9" s="43"/>
      <c r="F9" s="43"/>
      <c r="G9" s="44"/>
      <c r="H9" s="44">
        <v>2.407351</v>
      </c>
      <c r="I9" s="6" t="s">
        <v>22</v>
      </c>
      <c r="J9" s="72">
        <v>5278.35</v>
      </c>
      <c r="K9" s="21">
        <v>4.56080214460958</v>
      </c>
      <c r="L9" s="49">
        <v>4.9</v>
      </c>
      <c r="M9" s="162"/>
    </row>
    <row r="10" s="24" customFormat="1" customHeight="1" spans="2:13">
      <c r="B10" s="37">
        <v>4</v>
      </c>
      <c r="C10" s="23" t="s">
        <v>26</v>
      </c>
      <c r="D10" s="42">
        <v>49.128906</v>
      </c>
      <c r="E10" s="43"/>
      <c r="F10" s="43"/>
      <c r="G10" s="44"/>
      <c r="H10" s="44">
        <v>49.128906</v>
      </c>
      <c r="I10" s="6" t="s">
        <v>22</v>
      </c>
      <c r="J10" s="72">
        <v>5278.35</v>
      </c>
      <c r="K10" s="21">
        <v>93.0762567847907</v>
      </c>
      <c r="L10" s="49">
        <v>32.23</v>
      </c>
      <c r="M10" s="162"/>
    </row>
    <row r="11" s="24" customFormat="1" customHeight="1" spans="2:13">
      <c r="B11" s="37" t="s">
        <v>27</v>
      </c>
      <c r="C11" s="41" t="s">
        <v>28</v>
      </c>
      <c r="D11" s="40"/>
      <c r="E11" s="40"/>
      <c r="F11" s="40"/>
      <c r="G11" s="40"/>
      <c r="H11" s="40">
        <v>1720.154391</v>
      </c>
      <c r="I11" s="40" t="s">
        <v>22</v>
      </c>
      <c r="J11" s="73">
        <v>1093.32</v>
      </c>
      <c r="K11" s="73">
        <v>15733.311299528</v>
      </c>
      <c r="L11" s="49">
        <v>1766.24</v>
      </c>
      <c r="M11" s="162"/>
    </row>
    <row r="12" s="24" customFormat="1" customHeight="1" spans="2:13">
      <c r="B12" s="37">
        <v>1</v>
      </c>
      <c r="C12" s="5" t="s">
        <v>29</v>
      </c>
      <c r="D12" s="42">
        <v>262.114859</v>
      </c>
      <c r="E12" s="42"/>
      <c r="F12" s="42"/>
      <c r="G12" s="42"/>
      <c r="H12" s="44">
        <v>262.114859</v>
      </c>
      <c r="I12" s="6" t="s">
        <v>22</v>
      </c>
      <c r="J12" s="72">
        <v>257.32</v>
      </c>
      <c r="K12" s="21">
        <v>10186.3383724545</v>
      </c>
      <c r="L12" s="49"/>
      <c r="M12" s="162"/>
    </row>
    <row r="13" s="24" customFormat="1" customHeight="1" spans="2:13">
      <c r="B13" s="37">
        <v>2</v>
      </c>
      <c r="C13" s="23" t="s">
        <v>30</v>
      </c>
      <c r="D13" s="42">
        <v>980.235781</v>
      </c>
      <c r="E13" s="43"/>
      <c r="F13" s="43"/>
      <c r="G13" s="43"/>
      <c r="H13" s="44">
        <v>980.235781</v>
      </c>
      <c r="I13" s="6" t="s">
        <v>22</v>
      </c>
      <c r="J13" s="72">
        <v>836</v>
      </c>
      <c r="K13" s="21">
        <v>11725.3083851675</v>
      </c>
      <c r="L13" s="49"/>
      <c r="M13" s="162"/>
    </row>
    <row r="14" s="24" customFormat="1" customHeight="1" spans="2:13">
      <c r="B14" s="37">
        <v>3</v>
      </c>
      <c r="C14" s="23" t="s">
        <v>31</v>
      </c>
      <c r="D14" s="42">
        <v>131.722862</v>
      </c>
      <c r="E14" s="43"/>
      <c r="F14" s="43"/>
      <c r="G14" s="44"/>
      <c r="H14" s="44">
        <v>131.722862</v>
      </c>
      <c r="I14" s="6" t="s">
        <v>22</v>
      </c>
      <c r="J14" s="72">
        <v>1093.32</v>
      </c>
      <c r="K14" s="21">
        <v>1204.79696703618</v>
      </c>
      <c r="L14" s="49"/>
      <c r="M14" s="162"/>
    </row>
    <row r="15" s="24" customFormat="1" customHeight="1" spans="2:13">
      <c r="B15" s="37">
        <v>4</v>
      </c>
      <c r="C15" s="23" t="s">
        <v>8</v>
      </c>
      <c r="D15" s="42">
        <v>346.080889</v>
      </c>
      <c r="E15" s="43"/>
      <c r="F15" s="43"/>
      <c r="G15" s="44"/>
      <c r="H15" s="44">
        <v>346.080889</v>
      </c>
      <c r="I15" s="6" t="s">
        <v>22</v>
      </c>
      <c r="J15" s="72">
        <v>1093.32</v>
      </c>
      <c r="K15" s="21">
        <v>3165.41258734863</v>
      </c>
      <c r="L15" s="49"/>
      <c r="M15" s="162"/>
    </row>
    <row r="16" s="25" customFormat="1" customHeight="1" spans="2:13">
      <c r="B16" s="37"/>
      <c r="C16" s="23"/>
      <c r="D16" s="42"/>
      <c r="E16" s="43"/>
      <c r="F16" s="43"/>
      <c r="G16" s="44"/>
      <c r="H16" s="44"/>
      <c r="I16" s="6"/>
      <c r="J16" s="72"/>
      <c r="K16" s="21"/>
      <c r="L16" s="49"/>
      <c r="M16" s="162"/>
    </row>
    <row r="17" customHeight="1" spans="2:13">
      <c r="B17" s="37"/>
      <c r="C17" s="216" t="s">
        <v>32</v>
      </c>
      <c r="D17" s="40">
        <v>2169.869763</v>
      </c>
      <c r="E17" s="40">
        <v>0</v>
      </c>
      <c r="F17" s="40">
        <v>0</v>
      </c>
      <c r="G17" s="40">
        <v>0</v>
      </c>
      <c r="H17" s="40">
        <v>2169.869763</v>
      </c>
      <c r="I17" s="49"/>
      <c r="J17" s="72"/>
      <c r="K17" s="72"/>
      <c r="L17" s="49"/>
      <c r="M17" s="162"/>
    </row>
    <row r="18" customHeight="1" spans="2:13">
      <c r="B18" s="37"/>
      <c r="C18" s="45" t="s">
        <v>33</v>
      </c>
      <c r="D18" s="46">
        <v>0</v>
      </c>
      <c r="E18" s="46">
        <v>0</v>
      </c>
      <c r="F18" s="46">
        <v>0</v>
      </c>
      <c r="G18" s="46">
        <v>1630.86950917777</v>
      </c>
      <c r="H18" s="40">
        <v>1630.86950917777</v>
      </c>
      <c r="I18" s="91"/>
      <c r="J18" s="163"/>
      <c r="K18" s="164"/>
      <c r="L18" s="6"/>
      <c r="M18" s="24"/>
    </row>
    <row r="19" customHeight="1" spans="2:13">
      <c r="B19" s="37">
        <v>1</v>
      </c>
      <c r="C19" s="47" t="s">
        <v>34</v>
      </c>
      <c r="D19" s="48"/>
      <c r="E19" s="48"/>
      <c r="F19" s="48"/>
      <c r="G19" s="48"/>
      <c r="H19" s="49">
        <v>1123.09</v>
      </c>
      <c r="I19" s="91"/>
      <c r="J19" s="163"/>
      <c r="K19" s="164"/>
      <c r="L19" s="74"/>
      <c r="M19" s="165"/>
    </row>
    <row r="20" customHeight="1" spans="2:13">
      <c r="B20" s="37">
        <v>-1</v>
      </c>
      <c r="C20" s="47" t="s">
        <v>35</v>
      </c>
      <c r="D20" s="6"/>
      <c r="E20" s="6"/>
      <c r="F20" s="6"/>
      <c r="G20" s="48">
        <v>1123.09</v>
      </c>
      <c r="H20" s="49">
        <v>1123.09</v>
      </c>
      <c r="I20" s="91" t="s">
        <v>36</v>
      </c>
      <c r="J20" s="163"/>
      <c r="K20" s="164"/>
      <c r="L20" s="47"/>
      <c r="M20" s="166"/>
    </row>
    <row r="21" customHeight="1" spans="2:13">
      <c r="B21" s="37">
        <v>2</v>
      </c>
      <c r="C21" s="47" t="s">
        <v>37</v>
      </c>
      <c r="D21" s="48"/>
      <c r="E21" s="48"/>
      <c r="F21" s="48"/>
      <c r="G21" s="48">
        <v>46.4758384984218</v>
      </c>
      <c r="H21" s="49">
        <v>46.4758384984218</v>
      </c>
      <c r="I21" s="91" t="s">
        <v>38</v>
      </c>
      <c r="J21" s="163"/>
      <c r="K21" s="164"/>
      <c r="L21" s="6"/>
      <c r="M21" s="24"/>
    </row>
    <row r="22" customHeight="1" spans="2:13">
      <c r="B22" s="37">
        <v>3</v>
      </c>
      <c r="C22" s="217" t="s">
        <v>39</v>
      </c>
      <c r="D22" s="48"/>
      <c r="E22" s="48"/>
      <c r="F22" s="48"/>
      <c r="G22" s="48">
        <v>58.176874312</v>
      </c>
      <c r="H22" s="49">
        <v>58.176874312</v>
      </c>
      <c r="I22" s="91" t="s">
        <v>40</v>
      </c>
      <c r="J22" s="163"/>
      <c r="K22" s="164"/>
      <c r="L22" s="47"/>
      <c r="M22" s="166"/>
    </row>
    <row r="23" customHeight="1" spans="2:13">
      <c r="B23" s="37">
        <v>4</v>
      </c>
      <c r="C23" s="47" t="s">
        <v>41</v>
      </c>
      <c r="D23" s="6"/>
      <c r="E23" s="6"/>
      <c r="F23" s="6"/>
      <c r="G23" s="48"/>
      <c r="H23" s="49">
        <v>18.5749841514</v>
      </c>
      <c r="I23" s="91"/>
      <c r="J23" s="163"/>
      <c r="K23" s="164"/>
      <c r="L23" s="47"/>
      <c r="M23" s="166"/>
    </row>
    <row r="24" customHeight="1" spans="2:13">
      <c r="B24" s="37">
        <v>-1</v>
      </c>
      <c r="C24" s="47" t="s">
        <v>42</v>
      </c>
      <c r="D24" s="6"/>
      <c r="E24" s="6"/>
      <c r="F24" s="6"/>
      <c r="G24" s="48">
        <v>9.479479052</v>
      </c>
      <c r="H24" s="49">
        <v>9.479479052</v>
      </c>
      <c r="I24" s="91" t="s">
        <v>43</v>
      </c>
      <c r="J24" s="163"/>
      <c r="K24" s="164"/>
      <c r="L24" s="47"/>
      <c r="M24" s="166"/>
    </row>
    <row r="25" customHeight="1" spans="2:13">
      <c r="B25" s="37">
        <v>-2</v>
      </c>
      <c r="C25" s="47" t="s">
        <v>44</v>
      </c>
      <c r="D25" s="6"/>
      <c r="E25" s="6"/>
      <c r="F25" s="6"/>
      <c r="G25" s="48">
        <v>9.0955050994</v>
      </c>
      <c r="H25" s="49">
        <v>9.0955050994</v>
      </c>
      <c r="I25" s="91" t="s">
        <v>43</v>
      </c>
      <c r="J25" s="163"/>
      <c r="K25" s="164"/>
      <c r="L25" s="47"/>
      <c r="M25" s="166"/>
    </row>
    <row r="26" customHeight="1" spans="2:13">
      <c r="B26" s="37">
        <v>5</v>
      </c>
      <c r="C26" s="47" t="s">
        <v>46</v>
      </c>
      <c r="D26" s="48"/>
      <c r="E26" s="48"/>
      <c r="F26" s="48"/>
      <c r="G26" s="48"/>
      <c r="H26" s="49">
        <v>5.6</v>
      </c>
      <c r="I26" s="91"/>
      <c r="J26" s="163"/>
      <c r="K26" s="164"/>
      <c r="L26" s="47"/>
      <c r="M26" s="166"/>
    </row>
    <row r="27" customHeight="1" spans="2:18">
      <c r="B27" s="37">
        <v>-1</v>
      </c>
      <c r="C27" s="47" t="s">
        <v>47</v>
      </c>
      <c r="D27" s="48"/>
      <c r="E27" s="48"/>
      <c r="F27" s="48"/>
      <c r="G27" s="48">
        <v>5.6</v>
      </c>
      <c r="H27" s="49">
        <v>5.6</v>
      </c>
      <c r="I27" s="91" t="s">
        <v>48</v>
      </c>
      <c r="J27" s="163"/>
      <c r="K27" s="164"/>
      <c r="L27" s="47"/>
      <c r="M27" s="166"/>
      <c r="N27" s="103"/>
      <c r="O27" s="104" t="s">
        <v>186</v>
      </c>
      <c r="P27" s="104" t="s">
        <v>187</v>
      </c>
      <c r="Q27" s="104" t="s">
        <v>188</v>
      </c>
      <c r="R27" s="104" t="s">
        <v>189</v>
      </c>
    </row>
    <row r="28" customHeight="1" spans="2:18">
      <c r="B28" s="37">
        <v>6</v>
      </c>
      <c r="C28" s="47" t="s">
        <v>49</v>
      </c>
      <c r="D28" s="6"/>
      <c r="E28" s="6"/>
      <c r="F28" s="6"/>
      <c r="G28" s="48">
        <v>6.46181309481511</v>
      </c>
      <c r="H28" s="49">
        <v>6.46181309481511</v>
      </c>
      <c r="I28" s="91" t="s">
        <v>50</v>
      </c>
      <c r="J28" s="163"/>
      <c r="K28" s="164"/>
      <c r="L28" s="47"/>
      <c r="M28" s="166"/>
      <c r="N28" s="103" t="s">
        <v>190</v>
      </c>
      <c r="O28" s="103">
        <v>3919.97</v>
      </c>
      <c r="P28" s="103">
        <v>2067.66</v>
      </c>
      <c r="Q28" s="103">
        <v>1645.13</v>
      </c>
      <c r="R28" s="103">
        <v>207.18</v>
      </c>
    </row>
    <row r="29" customHeight="1" spans="2:18">
      <c r="B29" s="37">
        <v>7</v>
      </c>
      <c r="C29" s="47" t="s">
        <v>51</v>
      </c>
      <c r="D29" s="6"/>
      <c r="E29" s="6"/>
      <c r="F29" s="6"/>
      <c r="G29" s="48"/>
      <c r="H29" s="49">
        <v>15.2306056567348</v>
      </c>
      <c r="I29" s="91"/>
      <c r="J29" s="163"/>
      <c r="K29" s="164"/>
      <c r="L29" s="47"/>
      <c r="M29" s="166"/>
      <c r="N29" s="103" t="s">
        <v>191</v>
      </c>
      <c r="O29" s="103">
        <f>H64</f>
        <v>3934.62173585162</v>
      </c>
      <c r="P29" s="103">
        <f>H5</f>
        <v>2169.869763</v>
      </c>
      <c r="Q29" s="103">
        <f>H18</f>
        <v>1630.86950917777</v>
      </c>
      <c r="R29" s="103">
        <f>H60</f>
        <v>133.882463608889</v>
      </c>
    </row>
    <row r="30" s="26" customFormat="1" customHeight="1" spans="2:18">
      <c r="B30" s="37">
        <v>-1</v>
      </c>
      <c r="C30" s="47" t="s">
        <v>52</v>
      </c>
      <c r="D30" s="6"/>
      <c r="E30" s="6"/>
      <c r="F30" s="6"/>
      <c r="G30" s="48">
        <v>6.20297695144152</v>
      </c>
      <c r="H30" s="49">
        <v>6.20297695144152</v>
      </c>
      <c r="I30" s="91" t="s">
        <v>53</v>
      </c>
      <c r="J30" s="163"/>
      <c r="K30" s="164"/>
      <c r="L30" s="47"/>
      <c r="M30" s="166"/>
      <c r="N30" s="105" t="s">
        <v>192</v>
      </c>
      <c r="O30" s="106">
        <f>O29-O28</f>
        <v>14.6517358516203</v>
      </c>
      <c r="P30" s="106">
        <f>P29-P28</f>
        <v>102.209763</v>
      </c>
      <c r="Q30" s="106">
        <f>Q29-Q28</f>
        <v>-14.2604908222302</v>
      </c>
      <c r="R30" s="106">
        <f>R29-R28</f>
        <v>-73.297536391111</v>
      </c>
    </row>
    <row r="31" customHeight="1" spans="2:18">
      <c r="B31" s="37">
        <v>-2</v>
      </c>
      <c r="C31" s="47" t="s">
        <v>54</v>
      </c>
      <c r="D31" s="6"/>
      <c r="E31" s="6"/>
      <c r="F31" s="6"/>
      <c r="G31" s="48">
        <v>6.20297695144152</v>
      </c>
      <c r="H31" s="49">
        <v>6.20297695144152</v>
      </c>
      <c r="I31" s="91" t="s">
        <v>53</v>
      </c>
      <c r="J31" s="163"/>
      <c r="K31" s="164"/>
      <c r="L31" s="47"/>
      <c r="M31" s="166"/>
      <c r="N31" s="104" t="s">
        <v>193</v>
      </c>
      <c r="O31" s="107">
        <f>O30/O28</f>
        <v>0.00373771632222193</v>
      </c>
      <c r="P31" s="107">
        <f>P30/P28</f>
        <v>0.0494325774063435</v>
      </c>
      <c r="Q31" s="107">
        <f>Q30/Q28</f>
        <v>-0.00866830634796652</v>
      </c>
      <c r="R31" s="107">
        <f>R30/R28</f>
        <v>-0.353786738059229</v>
      </c>
    </row>
    <row r="32" customHeight="1" spans="2:13">
      <c r="B32" s="37">
        <v>-3</v>
      </c>
      <c r="C32" s="50" t="s">
        <v>55</v>
      </c>
      <c r="D32" s="6"/>
      <c r="E32" s="6"/>
      <c r="F32" s="6"/>
      <c r="G32" s="48">
        <v>0.75699277003797</v>
      </c>
      <c r="H32" s="49">
        <v>0.75699277003797</v>
      </c>
      <c r="I32" s="91" t="s">
        <v>53</v>
      </c>
      <c r="J32" s="163"/>
      <c r="K32" s="164"/>
      <c r="L32" s="47"/>
      <c r="M32" s="166"/>
    </row>
    <row r="33" customHeight="1" spans="2:13">
      <c r="B33" s="37">
        <v>-4</v>
      </c>
      <c r="C33" s="47" t="s">
        <v>56</v>
      </c>
      <c r="D33" s="6"/>
      <c r="E33" s="6"/>
      <c r="F33" s="6"/>
      <c r="G33" s="48">
        <v>2.06765898381384</v>
      </c>
      <c r="H33" s="49">
        <v>2.06765898381384</v>
      </c>
      <c r="I33" s="91" t="s">
        <v>53</v>
      </c>
      <c r="J33" s="163"/>
      <c r="K33" s="164"/>
      <c r="L33" s="47"/>
      <c r="M33" s="166"/>
    </row>
    <row r="34" customHeight="1" spans="2:13">
      <c r="B34" s="37">
        <v>8</v>
      </c>
      <c r="C34" s="51" t="s">
        <v>57</v>
      </c>
      <c r="D34" s="52"/>
      <c r="E34" s="52"/>
      <c r="F34" s="52"/>
      <c r="G34" s="53">
        <v>0.76</v>
      </c>
      <c r="H34" s="54">
        <v>0.76</v>
      </c>
      <c r="I34" s="91" t="s">
        <v>58</v>
      </c>
      <c r="J34" s="163"/>
      <c r="K34" s="164"/>
      <c r="L34" s="76"/>
      <c r="M34" s="167"/>
    </row>
    <row r="35" customHeight="1" spans="2:13">
      <c r="B35" s="37">
        <v>9</v>
      </c>
      <c r="C35" s="47" t="s">
        <v>59</v>
      </c>
      <c r="D35" s="6"/>
      <c r="E35" s="6"/>
      <c r="F35" s="6"/>
      <c r="G35" s="48">
        <v>12.750878910755</v>
      </c>
      <c r="H35" s="49">
        <v>12.750878910755</v>
      </c>
      <c r="I35" s="91" t="s">
        <v>60</v>
      </c>
      <c r="J35" s="163"/>
      <c r="K35" s="164"/>
      <c r="L35" s="47"/>
      <c r="M35" s="166"/>
    </row>
    <row r="36" customHeight="1" spans="2:13">
      <c r="B36" s="37">
        <v>10</v>
      </c>
      <c r="C36" s="12" t="s">
        <v>61</v>
      </c>
      <c r="D36" s="6"/>
      <c r="E36" s="6"/>
      <c r="F36" s="6"/>
      <c r="G36" s="48"/>
      <c r="H36" s="49">
        <v>98.5194649275</v>
      </c>
      <c r="I36" s="91"/>
      <c r="J36" s="163"/>
      <c r="K36" s="164"/>
      <c r="L36" s="47"/>
      <c r="M36" s="166"/>
    </row>
    <row r="37" customHeight="1" spans="2:13">
      <c r="B37" s="37">
        <v>-1</v>
      </c>
      <c r="C37" s="12" t="s">
        <v>62</v>
      </c>
      <c r="D37" s="48"/>
      <c r="E37" s="48"/>
      <c r="F37" s="48"/>
      <c r="G37" s="55">
        <v>5.4246744075</v>
      </c>
      <c r="H37" s="49">
        <v>5.4246744075</v>
      </c>
      <c r="I37" s="91" t="s">
        <v>63</v>
      </c>
      <c r="J37" s="163"/>
      <c r="K37" s="164"/>
      <c r="L37" s="47"/>
      <c r="M37" s="166"/>
    </row>
    <row r="38" customHeight="1" spans="2:13">
      <c r="B38" s="37">
        <v>-2</v>
      </c>
      <c r="C38" s="12" t="s">
        <v>64</v>
      </c>
      <c r="D38" s="48"/>
      <c r="E38" s="48"/>
      <c r="F38" s="48"/>
      <c r="G38" s="55">
        <v>16.2740232225</v>
      </c>
      <c r="H38" s="49">
        <v>16.2740232225</v>
      </c>
      <c r="I38" s="91" t="s">
        <v>65</v>
      </c>
      <c r="J38" s="163"/>
      <c r="K38" s="164"/>
      <c r="L38" s="47"/>
      <c r="M38" s="166"/>
    </row>
    <row r="39" s="27" customFormat="1" ht="23.25" customHeight="1" spans="2:13">
      <c r="B39" s="37">
        <v>-3</v>
      </c>
      <c r="C39" s="12" t="s">
        <v>66</v>
      </c>
      <c r="D39" s="6"/>
      <c r="E39" s="6"/>
      <c r="F39" s="6"/>
      <c r="G39" s="55">
        <v>76.8207672975</v>
      </c>
      <c r="H39" s="49">
        <v>76.8207672975</v>
      </c>
      <c r="I39" s="91" t="s">
        <v>67</v>
      </c>
      <c r="J39" s="163"/>
      <c r="K39" s="164"/>
      <c r="L39" s="47"/>
      <c r="M39" s="166"/>
    </row>
    <row r="40" s="28" customFormat="1" customHeight="1" spans="2:13">
      <c r="B40" s="37">
        <v>11</v>
      </c>
      <c r="C40" s="47" t="s">
        <v>68</v>
      </c>
      <c r="D40" s="6"/>
      <c r="E40" s="6"/>
      <c r="F40" s="6"/>
      <c r="G40" s="48">
        <v>4.9933498743375</v>
      </c>
      <c r="H40" s="49">
        <v>4.9933498743375</v>
      </c>
      <c r="I40" s="91" t="s">
        <v>69</v>
      </c>
      <c r="J40" s="163"/>
      <c r="K40" s="164"/>
      <c r="L40" s="47"/>
      <c r="M40" s="166"/>
    </row>
    <row r="41" s="28" customFormat="1" customHeight="1" spans="2:13">
      <c r="B41" s="37">
        <v>12</v>
      </c>
      <c r="C41" s="47" t="s">
        <v>70</v>
      </c>
      <c r="D41" s="48"/>
      <c r="E41" s="48"/>
      <c r="F41" s="48"/>
      <c r="G41" s="48">
        <v>21.69869763</v>
      </c>
      <c r="H41" s="49">
        <v>21.69869763</v>
      </c>
      <c r="I41" s="91" t="s">
        <v>71</v>
      </c>
      <c r="J41" s="163"/>
      <c r="K41" s="164"/>
      <c r="L41" s="47"/>
      <c r="M41" s="166"/>
    </row>
    <row r="42" s="28" customFormat="1" customHeight="1" spans="2:13">
      <c r="B42" s="37">
        <v>13</v>
      </c>
      <c r="C42" s="47" t="s">
        <v>72</v>
      </c>
      <c r="D42" s="48"/>
      <c r="E42" s="48"/>
      <c r="F42" s="48"/>
      <c r="G42" s="48">
        <v>9.7644139335</v>
      </c>
      <c r="H42" s="49">
        <v>9.7644139335</v>
      </c>
      <c r="I42" s="91" t="s">
        <v>73</v>
      </c>
      <c r="J42" s="163"/>
      <c r="K42" s="164"/>
      <c r="L42" s="47"/>
      <c r="M42" s="166"/>
    </row>
    <row r="43" s="28" customFormat="1" customHeight="1" spans="2:13">
      <c r="B43" s="37">
        <v>14</v>
      </c>
      <c r="C43" s="47" t="s">
        <v>74</v>
      </c>
      <c r="D43" s="48"/>
      <c r="E43" s="48"/>
      <c r="F43" s="48"/>
      <c r="G43" s="48">
        <v>15.189088341</v>
      </c>
      <c r="H43" s="49">
        <v>15.189088341</v>
      </c>
      <c r="I43" s="91" t="s">
        <v>75</v>
      </c>
      <c r="J43" s="163"/>
      <c r="K43" s="164"/>
      <c r="L43" s="47"/>
      <c r="M43" s="166"/>
    </row>
    <row r="44" s="28" customFormat="1" customHeight="1" spans="2:13">
      <c r="B44" s="37">
        <v>15</v>
      </c>
      <c r="C44" s="87" t="s">
        <v>76</v>
      </c>
      <c r="D44" s="48"/>
      <c r="E44" s="48"/>
      <c r="F44" s="48"/>
      <c r="G44" s="48">
        <v>5.8215</v>
      </c>
      <c r="H44" s="49">
        <v>5.8215</v>
      </c>
      <c r="I44" s="91" t="s">
        <v>77</v>
      </c>
      <c r="J44" s="163"/>
      <c r="K44" s="164"/>
      <c r="L44" s="47"/>
      <c r="M44" s="166"/>
    </row>
    <row r="45" s="28" customFormat="1" customHeight="1" spans="2:13">
      <c r="B45" s="37">
        <v>16</v>
      </c>
      <c r="C45" s="87" t="s">
        <v>78</v>
      </c>
      <c r="D45" s="48"/>
      <c r="E45" s="48"/>
      <c r="F45" s="48"/>
      <c r="G45" s="48">
        <v>7.762</v>
      </c>
      <c r="H45" s="49">
        <v>7.762</v>
      </c>
      <c r="I45" s="91" t="s">
        <v>77</v>
      </c>
      <c r="J45" s="163"/>
      <c r="K45" s="164"/>
      <c r="L45" s="47"/>
      <c r="M45" s="166"/>
    </row>
    <row r="46" s="29" customFormat="1" customHeight="1" spans="2:13">
      <c r="B46" s="37">
        <v>17</v>
      </c>
      <c r="C46" s="57" t="s">
        <v>79</v>
      </c>
      <c r="D46" s="59"/>
      <c r="E46" s="59"/>
      <c r="F46" s="59"/>
      <c r="G46" s="88">
        <v>10</v>
      </c>
      <c r="H46" s="58">
        <v>10</v>
      </c>
      <c r="I46" s="91" t="s">
        <v>36</v>
      </c>
      <c r="J46" s="163"/>
      <c r="K46" s="164"/>
      <c r="L46" s="81"/>
      <c r="M46" s="168"/>
    </row>
    <row r="47" s="29" customFormat="1" customHeight="1" spans="2:13">
      <c r="B47" s="37">
        <v>18</v>
      </c>
      <c r="C47" s="57" t="s">
        <v>80</v>
      </c>
      <c r="D47" s="59"/>
      <c r="E47" s="59"/>
      <c r="F47" s="59"/>
      <c r="G47" s="88">
        <v>10</v>
      </c>
      <c r="H47" s="58">
        <v>10</v>
      </c>
      <c r="I47" s="91" t="s">
        <v>36</v>
      </c>
      <c r="J47" s="163"/>
      <c r="K47" s="164"/>
      <c r="L47" s="81"/>
      <c r="M47" s="168"/>
    </row>
    <row r="48" s="29" customFormat="1" customHeight="1" spans="2:13">
      <c r="B48" s="37">
        <v>19</v>
      </c>
      <c r="C48" s="60" t="s">
        <v>81</v>
      </c>
      <c r="D48" s="59"/>
      <c r="E48" s="59"/>
      <c r="F48" s="59"/>
      <c r="G48" s="88">
        <v>20</v>
      </c>
      <c r="H48" s="58">
        <v>20</v>
      </c>
      <c r="I48" s="91" t="s">
        <v>36</v>
      </c>
      <c r="J48" s="163"/>
      <c r="K48" s="164"/>
      <c r="L48" s="81"/>
      <c r="M48" s="168"/>
    </row>
    <row r="49" s="29" customFormat="1" customHeight="1" spans="2:13">
      <c r="B49" s="37">
        <v>20</v>
      </c>
      <c r="C49" s="60" t="s">
        <v>82</v>
      </c>
      <c r="D49" s="59"/>
      <c r="E49" s="59"/>
      <c r="F49" s="59"/>
      <c r="G49" s="88">
        <v>10</v>
      </c>
      <c r="H49" s="58">
        <v>10</v>
      </c>
      <c r="I49" s="91" t="s">
        <v>36</v>
      </c>
      <c r="J49" s="163"/>
      <c r="K49" s="164"/>
      <c r="L49" s="81"/>
      <c r="M49" s="168"/>
    </row>
    <row r="50" s="29" customFormat="1" customHeight="1" spans="2:13">
      <c r="B50" s="37">
        <v>21</v>
      </c>
      <c r="C50" s="60" t="s">
        <v>83</v>
      </c>
      <c r="D50" s="59"/>
      <c r="E50" s="59"/>
      <c r="F50" s="59"/>
      <c r="G50" s="88">
        <v>30</v>
      </c>
      <c r="H50" s="58">
        <v>30</v>
      </c>
      <c r="I50" s="91" t="s">
        <v>36</v>
      </c>
      <c r="J50" s="163"/>
      <c r="K50" s="164"/>
      <c r="L50" s="81"/>
      <c r="M50" s="168"/>
    </row>
    <row r="51" s="29" customFormat="1" customHeight="1" spans="2:13">
      <c r="B51" s="37">
        <v>22</v>
      </c>
      <c r="C51" s="61" t="s">
        <v>84</v>
      </c>
      <c r="D51" s="62"/>
      <c r="E51" s="62"/>
      <c r="F51" s="62"/>
      <c r="G51" s="88">
        <v>50</v>
      </c>
      <c r="H51" s="58">
        <v>50</v>
      </c>
      <c r="I51" s="91" t="s">
        <v>36</v>
      </c>
      <c r="J51" s="163"/>
      <c r="K51" s="164"/>
      <c r="L51" s="81"/>
      <c r="M51" s="168"/>
    </row>
    <row r="52" s="29" customFormat="1" customHeight="1" spans="2:13">
      <c r="B52" s="37">
        <v>23</v>
      </c>
      <c r="C52" s="63" t="s">
        <v>85</v>
      </c>
      <c r="D52" s="64"/>
      <c r="E52" s="64"/>
      <c r="F52" s="64"/>
      <c r="G52" s="88">
        <v>15</v>
      </c>
      <c r="H52" s="58">
        <v>15</v>
      </c>
      <c r="I52" s="91" t="s">
        <v>36</v>
      </c>
      <c r="J52" s="163"/>
      <c r="K52" s="164"/>
      <c r="L52" s="81"/>
      <c r="M52" s="168"/>
    </row>
    <row r="53" s="29" customFormat="1" customHeight="1" spans="2:13">
      <c r="B53" s="37">
        <v>24</v>
      </c>
      <c r="C53" s="63" t="s">
        <v>86</v>
      </c>
      <c r="D53" s="64"/>
      <c r="E53" s="64"/>
      <c r="F53" s="64"/>
      <c r="G53" s="88">
        <v>10</v>
      </c>
      <c r="H53" s="58">
        <v>10</v>
      </c>
      <c r="I53" s="91" t="s">
        <v>36</v>
      </c>
      <c r="J53" s="163"/>
      <c r="K53" s="164"/>
      <c r="L53" s="81"/>
      <c r="M53" s="168"/>
    </row>
    <row r="54" s="29" customFormat="1" customHeight="1" spans="2:13">
      <c r="B54" s="37">
        <v>25</v>
      </c>
      <c r="C54" s="63" t="s">
        <v>87</v>
      </c>
      <c r="D54" s="64"/>
      <c r="E54" s="64"/>
      <c r="F54" s="64"/>
      <c r="G54" s="88">
        <v>20</v>
      </c>
      <c r="H54" s="58">
        <v>20</v>
      </c>
      <c r="I54" s="91" t="s">
        <v>36</v>
      </c>
      <c r="J54" s="163"/>
      <c r="K54" s="164"/>
      <c r="L54" s="81"/>
      <c r="M54" s="168"/>
    </row>
    <row r="55" s="29" customFormat="1" customHeight="1" spans="2:13">
      <c r="B55" s="37">
        <v>26</v>
      </c>
      <c r="C55" s="63" t="s">
        <v>88</v>
      </c>
      <c r="D55" s="64"/>
      <c r="E55" s="64"/>
      <c r="F55" s="64"/>
      <c r="G55" s="88">
        <v>5</v>
      </c>
      <c r="H55" s="58">
        <v>5</v>
      </c>
      <c r="I55" s="91" t="s">
        <v>36</v>
      </c>
      <c r="J55" s="163"/>
      <c r="K55" s="164"/>
      <c r="L55" s="81"/>
      <c r="M55" s="168"/>
    </row>
    <row r="56" customHeight="1" spans="2:13">
      <c r="B56" s="37"/>
      <c r="C56" s="47"/>
      <c r="D56" s="6"/>
      <c r="E56" s="6"/>
      <c r="F56" s="6"/>
      <c r="I56" s="91"/>
      <c r="J56" s="163"/>
      <c r="K56" s="164"/>
      <c r="L56" s="6"/>
      <c r="M56" s="24"/>
    </row>
    <row r="57" customHeight="1" spans="2:13">
      <c r="B57" s="37"/>
      <c r="C57" s="216" t="s">
        <v>89</v>
      </c>
      <c r="D57" s="40"/>
      <c r="E57" s="40"/>
      <c r="F57" s="40"/>
      <c r="G57" s="40">
        <v>1630.86950917777</v>
      </c>
      <c r="H57" s="40">
        <v>1630.86950917777</v>
      </c>
      <c r="I57" s="91"/>
      <c r="J57" s="163"/>
      <c r="K57" s="164"/>
      <c r="L57" s="49"/>
      <c r="M57" s="162"/>
    </row>
    <row r="58" customHeight="1" spans="2:13">
      <c r="B58" s="37"/>
      <c r="C58" s="218" t="s">
        <v>90</v>
      </c>
      <c r="D58" s="46">
        <v>2169.869763</v>
      </c>
      <c r="E58" s="46">
        <v>0</v>
      </c>
      <c r="F58" s="46">
        <v>0</v>
      </c>
      <c r="G58" s="46">
        <v>1630.86950917777</v>
      </c>
      <c r="H58" s="40">
        <v>3800.73927217777</v>
      </c>
      <c r="I58" s="91"/>
      <c r="J58" s="163"/>
      <c r="K58" s="164"/>
      <c r="L58" s="6"/>
      <c r="M58" s="24"/>
    </row>
    <row r="59" customHeight="1" spans="2:13">
      <c r="B59" s="37"/>
      <c r="C59" s="45" t="s">
        <v>91</v>
      </c>
      <c r="D59" s="6"/>
      <c r="E59" s="6"/>
      <c r="F59" s="6"/>
      <c r="G59" s="46">
        <v>133.882463673849</v>
      </c>
      <c r="H59" s="40">
        <v>133.882463673849</v>
      </c>
      <c r="I59" s="91"/>
      <c r="J59" s="163"/>
      <c r="K59" s="164"/>
      <c r="L59" s="6"/>
      <c r="M59" s="24"/>
    </row>
    <row r="60" customHeight="1" spans="2:13">
      <c r="B60" s="37"/>
      <c r="C60" s="47" t="s">
        <v>194</v>
      </c>
      <c r="D60" s="6"/>
      <c r="E60" s="6"/>
      <c r="F60" s="6"/>
      <c r="G60" s="65">
        <v>133.882463608889</v>
      </c>
      <c r="H60" s="48">
        <v>133.882463608889</v>
      </c>
      <c r="I60" s="91"/>
      <c r="J60" s="163"/>
      <c r="K60" s="164"/>
      <c r="L60" s="6"/>
      <c r="M60" s="24"/>
    </row>
    <row r="61" customHeight="1" spans="2:13">
      <c r="B61" s="37"/>
      <c r="C61" s="45"/>
      <c r="D61" s="6"/>
      <c r="E61" s="6"/>
      <c r="F61" s="6"/>
      <c r="G61" s="6"/>
      <c r="H61" s="6"/>
      <c r="I61" s="91"/>
      <c r="J61" s="163"/>
      <c r="K61" s="164"/>
      <c r="L61" s="6"/>
      <c r="M61" s="24"/>
    </row>
    <row r="62" customHeight="1" spans="2:13">
      <c r="B62" s="37"/>
      <c r="C62" s="218" t="s">
        <v>92</v>
      </c>
      <c r="D62" s="46">
        <v>2169.869763</v>
      </c>
      <c r="E62" s="46">
        <v>0</v>
      </c>
      <c r="F62" s="46">
        <v>0</v>
      </c>
      <c r="G62" s="46">
        <v>1764.75197285162</v>
      </c>
      <c r="H62" s="40">
        <v>3934.62173585162</v>
      </c>
      <c r="I62" s="91"/>
      <c r="J62" s="163"/>
      <c r="K62" s="164"/>
      <c r="L62" s="6"/>
      <c r="M62" s="24"/>
    </row>
    <row r="63" customHeight="1" spans="2:13">
      <c r="B63" s="37"/>
      <c r="C63" s="45"/>
      <c r="D63" s="6"/>
      <c r="E63" s="6"/>
      <c r="F63" s="6"/>
      <c r="G63" s="6"/>
      <c r="H63" s="6"/>
      <c r="I63" s="91"/>
      <c r="J63" s="163"/>
      <c r="K63" s="164"/>
      <c r="L63" s="6"/>
      <c r="M63" s="24"/>
    </row>
    <row r="64" customHeight="1" spans="2:13">
      <c r="B64" s="86"/>
      <c r="C64" s="45" t="s">
        <v>93</v>
      </c>
      <c r="D64" s="46">
        <v>2169.869763</v>
      </c>
      <c r="E64" s="46">
        <v>0</v>
      </c>
      <c r="F64" s="46">
        <v>0</v>
      </c>
      <c r="G64" s="46">
        <v>1764.75197285162</v>
      </c>
      <c r="H64" s="40">
        <v>3934.62173585162</v>
      </c>
      <c r="I64" s="91"/>
      <c r="J64" s="163"/>
      <c r="K64" s="164"/>
      <c r="L64" s="6"/>
      <c r="M64" s="24"/>
    </row>
    <row r="65" customHeight="1" spans="2:13">
      <c r="B65" s="37"/>
      <c r="C65" s="47"/>
      <c r="D65" s="6"/>
      <c r="E65" s="6"/>
      <c r="F65" s="6"/>
      <c r="G65" s="6"/>
      <c r="H65" s="48"/>
      <c r="I65" s="91"/>
      <c r="J65" s="163"/>
      <c r="K65" s="164"/>
      <c r="L65" s="6"/>
      <c r="M65" s="24"/>
    </row>
  </sheetData>
  <autoFilter ref="C3:C65">
    <extLst/>
  </autoFilter>
  <mergeCells count="54">
    <mergeCell ref="B1:L1"/>
    <mergeCell ref="D3:H3"/>
    <mergeCell ref="I3:K3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I51:K51"/>
    <mergeCell ref="I52:K52"/>
    <mergeCell ref="I53:K53"/>
    <mergeCell ref="I54:K54"/>
    <mergeCell ref="I55:K55"/>
    <mergeCell ref="I56:K56"/>
    <mergeCell ref="I57:K57"/>
    <mergeCell ref="I58:K58"/>
    <mergeCell ref="I59:K59"/>
    <mergeCell ref="I60:K60"/>
    <mergeCell ref="I61:K61"/>
    <mergeCell ref="I62:K62"/>
    <mergeCell ref="I63:K63"/>
    <mergeCell ref="I64:K64"/>
    <mergeCell ref="I65:K65"/>
    <mergeCell ref="B3:B4"/>
    <mergeCell ref="C3:C4"/>
    <mergeCell ref="L3:L4"/>
  </mergeCells>
  <conditionalFormatting sqref="H5">
    <cfRule type="cellIs" dxfId="0" priority="1" operator="notEqual">
      <formula>SUM($D$5:$G$5)</formula>
    </cfRule>
  </conditionalFormatting>
  <printOptions horizontalCentered="1"/>
  <pageMargins left="0.707638888888889" right="0.590277777777778" top="0.984027777777778" bottom="0.786805555555556" header="0.313888888888889" footer="0.313888888888889"/>
  <pageSetup paperSize="9" orientation="landscape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3"/>
  <sheetViews>
    <sheetView zoomScale="85" zoomScaleNormal="85" workbookViewId="0">
      <selection activeCell="M30" sqref="M30"/>
    </sheetView>
  </sheetViews>
  <sheetFormatPr defaultColWidth="9" defaultRowHeight="15.75"/>
  <cols>
    <col min="1" max="1" width="5.50833333333333" style="109" customWidth="1"/>
    <col min="2" max="2" width="32.5083333333333" style="110" customWidth="1"/>
    <col min="3" max="3" width="10.1333333333333" style="110" customWidth="1"/>
    <col min="4" max="4" width="8.50833333333333" style="110" customWidth="1"/>
    <col min="5" max="5" width="9.13333333333333" style="110" customWidth="1"/>
    <col min="6" max="7" width="9.88333333333333" style="110" customWidth="1"/>
    <col min="8" max="8" width="9.50833333333333" style="110" customWidth="1"/>
    <col min="9" max="9" width="8.88333333333333" style="111" customWidth="1"/>
    <col min="10" max="10" width="10.3833333333333" style="111" customWidth="1"/>
    <col min="12" max="12" width="8.625" customWidth="1"/>
    <col min="13" max="13" width="12.625"/>
    <col min="14" max="14" width="18.25" customWidth="1"/>
    <col min="16" max="16" width="12.875" hidden="1" customWidth="1"/>
    <col min="17" max="17" width="8.75" hidden="1" customWidth="1"/>
    <col min="18" max="20" width="9" hidden="1" customWidth="1"/>
    <col min="21" max="21" width="13.25" hidden="1" customWidth="1"/>
  </cols>
  <sheetData>
    <row r="1" ht="22.5" spans="1:10">
      <c r="A1" s="112" t="s">
        <v>195</v>
      </c>
      <c r="B1" s="113"/>
      <c r="C1" s="113"/>
      <c r="D1" s="113"/>
      <c r="E1" s="113"/>
      <c r="F1" s="113"/>
      <c r="G1" s="113"/>
      <c r="H1" s="114"/>
      <c r="I1" s="149"/>
      <c r="J1" s="150"/>
    </row>
    <row r="2" ht="13.5" spans="1:10">
      <c r="A2" s="219" t="s">
        <v>196</v>
      </c>
      <c r="B2" s="116"/>
      <c r="C2" s="116"/>
      <c r="D2" s="116"/>
      <c r="E2" s="116"/>
      <c r="F2" s="116"/>
      <c r="G2" s="116"/>
      <c r="H2" s="116"/>
      <c r="I2" s="151"/>
      <c r="J2" s="151"/>
    </row>
    <row r="3" ht="13.5" spans="1:10">
      <c r="A3" s="117" t="s">
        <v>197</v>
      </c>
      <c r="B3" s="118" t="s">
        <v>198</v>
      </c>
      <c r="C3" s="118" t="s">
        <v>199</v>
      </c>
      <c r="D3" s="118"/>
      <c r="E3" s="118"/>
      <c r="F3" s="118"/>
      <c r="G3" s="118"/>
      <c r="H3" s="118" t="s">
        <v>200</v>
      </c>
      <c r="I3" s="152"/>
      <c r="J3" s="152"/>
    </row>
    <row r="4" ht="24" spans="1:10">
      <c r="A4" s="117"/>
      <c r="B4" s="118"/>
      <c r="C4" s="119" t="s">
        <v>201</v>
      </c>
      <c r="D4" s="119" t="s">
        <v>202</v>
      </c>
      <c r="E4" s="119" t="s">
        <v>203</v>
      </c>
      <c r="F4" s="119" t="s">
        <v>204</v>
      </c>
      <c r="G4" s="119" t="s">
        <v>205</v>
      </c>
      <c r="H4" s="119" t="s">
        <v>206</v>
      </c>
      <c r="I4" s="153" t="s">
        <v>207</v>
      </c>
      <c r="J4" s="153" t="s">
        <v>208</v>
      </c>
    </row>
    <row r="5" ht="13.5" spans="1:21">
      <c r="A5" s="117" t="s">
        <v>209</v>
      </c>
      <c r="B5" s="120" t="s">
        <v>210</v>
      </c>
      <c r="C5" s="121">
        <f>P5/10000</f>
        <v>1827.332372</v>
      </c>
      <c r="D5" s="121">
        <f>Q5/10000</f>
        <v>96.381426</v>
      </c>
      <c r="E5" s="121">
        <v>0</v>
      </c>
      <c r="F5" s="121">
        <v>0</v>
      </c>
      <c r="G5" s="121">
        <f>C5+D5</f>
        <v>1923.713798</v>
      </c>
      <c r="H5" s="122"/>
      <c r="I5" s="154"/>
      <c r="J5" s="154"/>
      <c r="P5" s="155" t="s">
        <v>211</v>
      </c>
      <c r="Q5" s="155">
        <v>963814.26</v>
      </c>
      <c r="R5" s="155"/>
      <c r="S5" s="155"/>
      <c r="T5" s="155"/>
      <c r="U5" s="155" t="s">
        <v>212</v>
      </c>
    </row>
    <row r="6" s="108" customFormat="1" ht="13.5" spans="1:21">
      <c r="A6" s="117">
        <v>1</v>
      </c>
      <c r="B6" s="120" t="s">
        <v>213</v>
      </c>
      <c r="C6" s="121">
        <f t="shared" ref="C6:C15" si="0">P6/10000</f>
        <v>370.204338</v>
      </c>
      <c r="D6" s="121">
        <f t="shared" ref="D6:D15" si="1">Q6/10000</f>
        <v>0</v>
      </c>
      <c r="E6" s="121"/>
      <c r="F6" s="121"/>
      <c r="G6" s="121">
        <f t="shared" ref="G6:G15" si="2">C6+D6</f>
        <v>370.204338</v>
      </c>
      <c r="H6" s="123" t="s">
        <v>214</v>
      </c>
      <c r="I6" s="156">
        <v>5278.35</v>
      </c>
      <c r="J6" s="156">
        <v>1017.37713490011</v>
      </c>
      <c r="P6" s="155">
        <v>3702043.38</v>
      </c>
      <c r="Q6" s="155"/>
      <c r="R6" s="155"/>
      <c r="S6" s="155"/>
      <c r="T6" s="155"/>
      <c r="U6" s="155">
        <v>3702043.38</v>
      </c>
    </row>
    <row r="7" s="108" customFormat="1" ht="13.5" spans="1:21">
      <c r="A7" s="124">
        <v>1.1</v>
      </c>
      <c r="B7" s="125" t="s">
        <v>215</v>
      </c>
      <c r="C7" s="122">
        <f t="shared" si="0"/>
        <v>303.985773</v>
      </c>
      <c r="D7" s="122">
        <f t="shared" si="1"/>
        <v>0</v>
      </c>
      <c r="E7" s="126"/>
      <c r="F7" s="127"/>
      <c r="G7" s="122">
        <f t="shared" si="2"/>
        <v>303.985773</v>
      </c>
      <c r="H7" s="118" t="s">
        <v>216</v>
      </c>
      <c r="I7" s="154">
        <v>5278.35</v>
      </c>
      <c r="J7" s="152">
        <v>732.137993880663</v>
      </c>
      <c r="P7" s="155">
        <v>3039857.73</v>
      </c>
      <c r="Q7" s="155"/>
      <c r="R7" s="155"/>
      <c r="S7" s="155"/>
      <c r="T7" s="155"/>
      <c r="U7" s="155">
        <v>3039857.73</v>
      </c>
    </row>
    <row r="8" s="108" customFormat="1" ht="13.5" spans="1:21">
      <c r="A8" s="124">
        <v>1.2</v>
      </c>
      <c r="B8" s="125" t="s">
        <v>217</v>
      </c>
      <c r="C8" s="122">
        <f t="shared" si="0"/>
        <v>18.875485</v>
      </c>
      <c r="D8" s="122">
        <f t="shared" si="1"/>
        <v>0</v>
      </c>
      <c r="E8" s="126"/>
      <c r="F8" s="127"/>
      <c r="G8" s="122">
        <f t="shared" si="2"/>
        <v>18.875485</v>
      </c>
      <c r="H8" s="118" t="s">
        <v>216</v>
      </c>
      <c r="I8" s="154">
        <v>5278.35</v>
      </c>
      <c r="J8" s="152">
        <v>128.44759441871</v>
      </c>
      <c r="P8" s="155">
        <v>188754.85</v>
      </c>
      <c r="Q8" s="155"/>
      <c r="R8" s="155"/>
      <c r="S8" s="155"/>
      <c r="T8" s="155"/>
      <c r="U8" s="155">
        <v>188754.85</v>
      </c>
    </row>
    <row r="9" s="108" customFormat="1" ht="13.5" spans="1:21">
      <c r="A9" s="124">
        <v>1.3</v>
      </c>
      <c r="B9" s="125" t="s">
        <v>218</v>
      </c>
      <c r="C9" s="122">
        <f t="shared" si="0"/>
        <v>2.240827</v>
      </c>
      <c r="D9" s="122">
        <f t="shared" si="1"/>
        <v>0</v>
      </c>
      <c r="E9" s="126"/>
      <c r="F9" s="127"/>
      <c r="G9" s="122">
        <f t="shared" si="2"/>
        <v>2.240827</v>
      </c>
      <c r="H9" s="118" t="s">
        <v>216</v>
      </c>
      <c r="I9" s="154">
        <v>5278.35</v>
      </c>
      <c r="J9" s="152">
        <v>4.5728854661021</v>
      </c>
      <c r="P9" s="155">
        <v>22408.27</v>
      </c>
      <c r="Q9" s="155"/>
      <c r="R9" s="155"/>
      <c r="S9" s="155"/>
      <c r="T9" s="155"/>
      <c r="U9" s="155">
        <v>22408.27</v>
      </c>
    </row>
    <row r="10" s="108" customFormat="1" ht="13.5" spans="1:21">
      <c r="A10" s="124">
        <v>1.4</v>
      </c>
      <c r="B10" s="125" t="s">
        <v>219</v>
      </c>
      <c r="C10" s="122">
        <f t="shared" si="0"/>
        <v>45.102253</v>
      </c>
      <c r="D10" s="122">
        <f t="shared" si="1"/>
        <v>0</v>
      </c>
      <c r="E10" s="126"/>
      <c r="F10" s="127"/>
      <c r="G10" s="122">
        <f t="shared" si="2"/>
        <v>45.102253</v>
      </c>
      <c r="H10" s="118" t="s">
        <v>216</v>
      </c>
      <c r="I10" s="154">
        <v>5278.35</v>
      </c>
      <c r="J10" s="152">
        <v>152.218661134635</v>
      </c>
      <c r="P10" s="155">
        <v>451022.53</v>
      </c>
      <c r="Q10" s="155"/>
      <c r="R10" s="155"/>
      <c r="S10" s="155"/>
      <c r="T10" s="155"/>
      <c r="U10" s="155">
        <v>451022.53</v>
      </c>
    </row>
    <row r="11" s="108" customFormat="1" ht="13.5" spans="1:21">
      <c r="A11" s="117">
        <v>2</v>
      </c>
      <c r="B11" s="120" t="s">
        <v>220</v>
      </c>
      <c r="C11" s="121">
        <f t="shared" si="0"/>
        <v>1457.128034</v>
      </c>
      <c r="D11" s="121">
        <f t="shared" si="1"/>
        <v>96.381426</v>
      </c>
      <c r="E11" s="121"/>
      <c r="F11" s="121"/>
      <c r="G11" s="121">
        <f t="shared" si="2"/>
        <v>1553.50946</v>
      </c>
      <c r="H11" s="123" t="s">
        <v>214</v>
      </c>
      <c r="I11" s="156">
        <v>1093.32</v>
      </c>
      <c r="J11" s="156">
        <v>17005.3237935828</v>
      </c>
      <c r="P11" s="155" t="s">
        <v>221</v>
      </c>
      <c r="Q11" s="155">
        <v>963814.26</v>
      </c>
      <c r="R11" s="155"/>
      <c r="S11" s="155"/>
      <c r="T11" s="155"/>
      <c r="U11" s="155" t="s">
        <v>222</v>
      </c>
    </row>
    <row r="12" ht="13.5" spans="1:21">
      <c r="A12" s="124">
        <v>2.1</v>
      </c>
      <c r="B12" s="98" t="s">
        <v>223</v>
      </c>
      <c r="C12" s="122">
        <f t="shared" si="0"/>
        <v>230.530266</v>
      </c>
      <c r="D12" s="122">
        <f t="shared" si="1"/>
        <v>0</v>
      </c>
      <c r="E12" s="128"/>
      <c r="F12" s="128"/>
      <c r="G12" s="122">
        <f t="shared" si="2"/>
        <v>230.530266</v>
      </c>
      <c r="H12" s="118" t="s">
        <v>216</v>
      </c>
      <c r="I12" s="154">
        <v>257.32</v>
      </c>
      <c r="J12" s="152">
        <v>10245.7159179232</v>
      </c>
      <c r="L12">
        <f>415.66+648.33</f>
        <v>1063.99</v>
      </c>
      <c r="P12" s="155">
        <v>2305302.66</v>
      </c>
      <c r="Q12" s="155"/>
      <c r="R12" s="155"/>
      <c r="S12" s="155"/>
      <c r="T12" s="155"/>
      <c r="U12" s="155">
        <v>2305302.66</v>
      </c>
    </row>
    <row r="13" ht="13.5" spans="1:21">
      <c r="A13" s="124">
        <v>2.2</v>
      </c>
      <c r="B13" s="125" t="s">
        <v>224</v>
      </c>
      <c r="C13" s="122">
        <f t="shared" si="0"/>
        <v>899.183232</v>
      </c>
      <c r="D13" s="122">
        <f t="shared" si="1"/>
        <v>0</v>
      </c>
      <c r="E13" s="126"/>
      <c r="F13" s="126"/>
      <c r="G13" s="122">
        <f t="shared" si="2"/>
        <v>899.183232</v>
      </c>
      <c r="H13" s="118" t="s">
        <v>216</v>
      </c>
      <c r="I13" s="154">
        <v>836</v>
      </c>
      <c r="J13" s="152">
        <v>11869.0294019139</v>
      </c>
      <c r="P13" s="155">
        <v>8991832.32</v>
      </c>
      <c r="Q13" s="155"/>
      <c r="R13" s="155"/>
      <c r="S13" s="155"/>
      <c r="T13" s="155"/>
      <c r="U13" s="155">
        <v>8991832.32</v>
      </c>
    </row>
    <row r="14" ht="13.5" spans="1:21">
      <c r="A14" s="124">
        <v>2.3</v>
      </c>
      <c r="B14" s="125" t="s">
        <v>225</v>
      </c>
      <c r="C14" s="122">
        <f t="shared" si="0"/>
        <v>0</v>
      </c>
      <c r="D14" s="122">
        <f t="shared" si="1"/>
        <v>96.381426</v>
      </c>
      <c r="E14" s="126"/>
      <c r="F14" s="127"/>
      <c r="G14" s="122">
        <f t="shared" si="2"/>
        <v>96.381426</v>
      </c>
      <c r="H14" s="118" t="s">
        <v>216</v>
      </c>
      <c r="I14" s="154">
        <v>1093.32</v>
      </c>
      <c r="J14" s="152">
        <v>1803.82452529909</v>
      </c>
      <c r="P14" s="155"/>
      <c r="Q14" s="155">
        <v>963814.26</v>
      </c>
      <c r="R14" s="155"/>
      <c r="S14" s="155"/>
      <c r="T14" s="155"/>
      <c r="U14" s="155">
        <v>963814.26</v>
      </c>
    </row>
    <row r="15" ht="13.5" spans="1:21">
      <c r="A15" s="124">
        <v>2.4</v>
      </c>
      <c r="B15" s="125" t="s">
        <v>201</v>
      </c>
      <c r="C15" s="122">
        <f t="shared" si="0"/>
        <v>327.414536</v>
      </c>
      <c r="D15" s="122">
        <f t="shared" si="1"/>
        <v>0</v>
      </c>
      <c r="E15" s="126"/>
      <c r="F15" s="127"/>
      <c r="G15" s="122">
        <f t="shared" si="2"/>
        <v>327.414536</v>
      </c>
      <c r="H15" s="118" t="s">
        <v>216</v>
      </c>
      <c r="I15" s="154">
        <v>1093.32</v>
      </c>
      <c r="J15" s="152">
        <v>3714.52729301577</v>
      </c>
      <c r="P15" s="155">
        <v>3274145.36</v>
      </c>
      <c r="Q15" s="155"/>
      <c r="R15" s="155"/>
      <c r="S15" s="155"/>
      <c r="T15" s="155"/>
      <c r="U15" s="155">
        <v>3274145.36</v>
      </c>
    </row>
    <row r="16" ht="13.5" spans="1:10">
      <c r="A16" s="117" t="s">
        <v>226</v>
      </c>
      <c r="B16" s="129" t="s">
        <v>227</v>
      </c>
      <c r="C16" s="123">
        <v>0</v>
      </c>
      <c r="D16" s="123">
        <v>0</v>
      </c>
      <c r="E16" s="123">
        <v>0</v>
      </c>
      <c r="F16" s="123">
        <f>SUM(F17:F52)</f>
        <v>1265.59495739582</v>
      </c>
      <c r="G16" s="121">
        <f>F16</f>
        <v>1265.59495739582</v>
      </c>
      <c r="H16" s="130"/>
      <c r="I16" s="157"/>
      <c r="J16" s="158"/>
    </row>
    <row r="17" ht="13.5" spans="1:10">
      <c r="A17" s="117">
        <v>1</v>
      </c>
      <c r="B17" s="47" t="s">
        <v>35</v>
      </c>
      <c r="C17" s="131"/>
      <c r="D17" s="131"/>
      <c r="E17" s="131"/>
      <c r="F17" s="122">
        <v>921.82</v>
      </c>
      <c r="G17" s="122">
        <f>F17</f>
        <v>921.82</v>
      </c>
      <c r="H17" s="77" t="s">
        <v>228</v>
      </c>
      <c r="I17" s="157"/>
      <c r="J17" s="158"/>
    </row>
    <row r="18" ht="13.5" spans="1:11">
      <c r="A18" s="117">
        <v>2</v>
      </c>
      <c r="B18" s="47" t="s">
        <v>37</v>
      </c>
      <c r="C18" s="131"/>
      <c r="D18" s="131"/>
      <c r="E18" s="131"/>
      <c r="F18" s="131">
        <v>40.7</v>
      </c>
      <c r="G18" s="122">
        <f>F18</f>
        <v>40.7</v>
      </c>
      <c r="H18" s="77" t="s">
        <v>229</v>
      </c>
      <c r="I18" s="157"/>
      <c r="J18" s="158"/>
      <c r="K18" s="159">
        <v>40.7</v>
      </c>
    </row>
    <row r="19" ht="13.5" spans="1:10">
      <c r="A19" s="117">
        <v>3</v>
      </c>
      <c r="B19" s="217" t="s">
        <v>39</v>
      </c>
      <c r="C19" s="131"/>
      <c r="D19" s="131"/>
      <c r="E19" s="131"/>
      <c r="F19" s="131">
        <f>((78.1-30.1)/(3000-1000)*(G5-1000)+30.1)*0.8</f>
        <v>41.8153049216</v>
      </c>
      <c r="G19" s="122">
        <f>F19</f>
        <v>41.8153049216</v>
      </c>
      <c r="H19" s="77" t="s">
        <v>230</v>
      </c>
      <c r="I19" s="157"/>
      <c r="J19" s="158"/>
    </row>
    <row r="20" ht="13.5" spans="1:10">
      <c r="A20" s="117">
        <v>4</v>
      </c>
      <c r="B20" s="47" t="s">
        <v>41</v>
      </c>
      <c r="C20" s="118"/>
      <c r="D20" s="118"/>
      <c r="E20" s="118"/>
      <c r="F20" s="131"/>
      <c r="G20" s="122">
        <f>G21+G22</f>
        <v>12.42808994592</v>
      </c>
      <c r="H20" s="130"/>
      <c r="I20" s="157"/>
      <c r="J20" s="158"/>
    </row>
    <row r="21" ht="13.5" spans="1:14">
      <c r="A21" s="124">
        <v>4.1</v>
      </c>
      <c r="B21" s="47" t="s">
        <v>42</v>
      </c>
      <c r="C21" s="118"/>
      <c r="D21" s="118"/>
      <c r="E21" s="118"/>
      <c r="F21" s="132">
        <v>5.9</v>
      </c>
      <c r="G21" s="122">
        <f>F21</f>
        <v>5.9</v>
      </c>
      <c r="H21" s="77" t="s">
        <v>48</v>
      </c>
      <c r="I21" s="157"/>
      <c r="J21" s="158"/>
      <c r="L21" s="122">
        <f>((500*5+(1000-500)*4.6+(G5-1000)*4)/1000)*0.8</f>
        <v>6.7958841536</v>
      </c>
      <c r="M21" s="122" t="s">
        <v>231</v>
      </c>
      <c r="N21" s="160" t="s">
        <v>232</v>
      </c>
    </row>
    <row r="22" ht="13.5" spans="1:10">
      <c r="A22" s="124">
        <v>4.2</v>
      </c>
      <c r="B22" s="47" t="s">
        <v>44</v>
      </c>
      <c r="C22" s="118"/>
      <c r="D22" s="118"/>
      <c r="E22" s="118"/>
      <c r="F22" s="131">
        <f>(500*0.0049+500*0.0044+(G5-1000)*0.0038)*0.8</f>
        <v>6.52808994592</v>
      </c>
      <c r="G22" s="122">
        <f>F22</f>
        <v>6.52808994592</v>
      </c>
      <c r="H22" s="77" t="s">
        <v>233</v>
      </c>
      <c r="I22" s="157"/>
      <c r="J22" s="158"/>
    </row>
    <row r="23" ht="13.5" spans="1:13">
      <c r="A23" s="117">
        <v>5</v>
      </c>
      <c r="B23" s="47" t="s">
        <v>234</v>
      </c>
      <c r="C23" s="131"/>
      <c r="D23" s="131"/>
      <c r="E23" s="131"/>
      <c r="F23" s="131">
        <v>5.6</v>
      </c>
      <c r="G23" s="122">
        <f>F23</f>
        <v>5.6</v>
      </c>
      <c r="H23" s="77" t="s">
        <v>48</v>
      </c>
      <c r="I23" s="157"/>
      <c r="J23" s="158"/>
      <c r="L23" s="122">
        <f>ROUND((12+(28-12)/(10000-3000)*(G57-3000)+6)*0.8,2)</f>
        <v>14.95</v>
      </c>
      <c r="M23" s="122" t="s">
        <v>235</v>
      </c>
    </row>
    <row r="24" ht="13.5" spans="1:10">
      <c r="A24" s="117">
        <v>6</v>
      </c>
      <c r="B24" s="47" t="s">
        <v>49</v>
      </c>
      <c r="C24" s="118"/>
      <c r="D24" s="118"/>
      <c r="E24" s="118"/>
      <c r="F24" s="131">
        <v>0</v>
      </c>
      <c r="G24" s="122">
        <f>F24</f>
        <v>0</v>
      </c>
      <c r="H24" s="77" t="s">
        <v>236</v>
      </c>
      <c r="I24" s="157"/>
      <c r="J24" s="158"/>
    </row>
    <row r="25" ht="13.5" spans="1:10">
      <c r="A25" s="117">
        <v>7</v>
      </c>
      <c r="B25" s="47" t="s">
        <v>51</v>
      </c>
      <c r="C25" s="118"/>
      <c r="D25" s="118"/>
      <c r="E25" s="118"/>
      <c r="F25" s="131"/>
      <c r="G25" s="122">
        <f>G26+G27+G28+G29</f>
        <v>13.8507393456</v>
      </c>
      <c r="H25" s="130"/>
      <c r="I25" s="157"/>
      <c r="J25" s="158"/>
    </row>
    <row r="26" ht="13.5" spans="1:10">
      <c r="A26" s="124">
        <v>7.1</v>
      </c>
      <c r="B26" s="47" t="s">
        <v>52</v>
      </c>
      <c r="C26" s="118"/>
      <c r="D26" s="118"/>
      <c r="E26" s="118"/>
      <c r="F26" s="131">
        <f>30*G5/5000*0.5</f>
        <v>5.771141394</v>
      </c>
      <c r="G26" s="122">
        <f t="shared" ref="G26:G31" si="3">F26</f>
        <v>5.771141394</v>
      </c>
      <c r="H26" s="77" t="s">
        <v>237</v>
      </c>
      <c r="I26" s="157"/>
      <c r="J26" s="158"/>
    </row>
    <row r="27" ht="13.5" spans="1:10">
      <c r="A27" s="124">
        <v>7.2</v>
      </c>
      <c r="B27" s="47" t="s">
        <v>54</v>
      </c>
      <c r="C27" s="118"/>
      <c r="D27" s="118"/>
      <c r="E27" s="118"/>
      <c r="F27" s="131">
        <f>30*G5/5000*0.5</f>
        <v>5.771141394</v>
      </c>
      <c r="G27" s="122">
        <f t="shared" si="3"/>
        <v>5.771141394</v>
      </c>
      <c r="H27" s="77" t="s">
        <v>237</v>
      </c>
      <c r="I27" s="157"/>
      <c r="J27" s="158"/>
    </row>
    <row r="28" ht="13.5" spans="1:10">
      <c r="A28" s="124">
        <v>7.3</v>
      </c>
      <c r="B28" s="50" t="s">
        <v>55</v>
      </c>
      <c r="C28" s="118"/>
      <c r="D28" s="118"/>
      <c r="E28" s="118"/>
      <c r="F28" s="131">
        <f>10*G5/5000*0.5</f>
        <v>1.923713798</v>
      </c>
      <c r="G28" s="122">
        <f t="shared" si="3"/>
        <v>1.923713798</v>
      </c>
      <c r="H28" s="77" t="s">
        <v>237</v>
      </c>
      <c r="I28" s="157"/>
      <c r="J28" s="158"/>
    </row>
    <row r="29" ht="13.5" spans="1:10">
      <c r="A29" s="124">
        <v>7.4</v>
      </c>
      <c r="B29" s="47" t="s">
        <v>56</v>
      </c>
      <c r="C29" s="118"/>
      <c r="D29" s="118"/>
      <c r="E29" s="118"/>
      <c r="F29" s="131">
        <f>1*G5/5000</f>
        <v>0.3847427596</v>
      </c>
      <c r="G29" s="122">
        <f t="shared" si="3"/>
        <v>0.3847427596</v>
      </c>
      <c r="H29" s="77" t="s">
        <v>238</v>
      </c>
      <c r="I29" s="157"/>
      <c r="J29" s="158"/>
    </row>
    <row r="30" ht="13.5" spans="1:10">
      <c r="A30" s="117">
        <v>8</v>
      </c>
      <c r="B30" s="51" t="s">
        <v>57</v>
      </c>
      <c r="C30" s="133"/>
      <c r="D30" s="133"/>
      <c r="E30" s="133"/>
      <c r="F30" s="131">
        <f>'zb-推荐方案0108'!G34</f>
        <v>0.76</v>
      </c>
      <c r="G30" s="122">
        <f t="shared" si="3"/>
        <v>0.76</v>
      </c>
      <c r="H30" s="77" t="s">
        <v>239</v>
      </c>
      <c r="I30" s="157"/>
      <c r="J30" s="158"/>
    </row>
    <row r="31" ht="13.5" spans="1:10">
      <c r="A31" s="117">
        <v>9</v>
      </c>
      <c r="B31" s="47" t="s">
        <v>240</v>
      </c>
      <c r="C31" s="118"/>
      <c r="D31" s="118"/>
      <c r="E31" s="118"/>
      <c r="F31" s="131">
        <f>(100*1%+(500-100)*0.7%+(1000-500)*0.55%+(G5-1000)*0.35%)*0.8</f>
        <v>7.8263986344</v>
      </c>
      <c r="G31" s="122">
        <f t="shared" si="3"/>
        <v>7.8263986344</v>
      </c>
      <c r="H31" s="77" t="s">
        <v>241</v>
      </c>
      <c r="I31" s="157"/>
      <c r="J31" s="158"/>
    </row>
    <row r="32" ht="13.5" spans="1:10">
      <c r="A32" s="117">
        <v>10</v>
      </c>
      <c r="B32" s="47" t="s">
        <v>61</v>
      </c>
      <c r="C32" s="118"/>
      <c r="D32" s="118"/>
      <c r="E32" s="118"/>
      <c r="F32" s="131"/>
      <c r="G32" s="122">
        <f>G33+G34+G35</f>
        <v>72.5401916727785</v>
      </c>
      <c r="H32" s="130"/>
      <c r="I32" s="157"/>
      <c r="J32" s="158"/>
    </row>
    <row r="33" ht="13.5" spans="1:13">
      <c r="A33" s="124">
        <v>10.1</v>
      </c>
      <c r="B33" s="47" t="s">
        <v>242</v>
      </c>
      <c r="C33" s="131"/>
      <c r="D33" s="131"/>
      <c r="E33" s="131"/>
      <c r="F33" s="134">
        <v>5.09</v>
      </c>
      <c r="G33" s="122">
        <f t="shared" ref="G33:G39" si="4">F33</f>
        <v>5.09</v>
      </c>
      <c r="H33" s="77" t="s">
        <v>48</v>
      </c>
      <c r="I33" s="157"/>
      <c r="J33" s="158"/>
      <c r="L33" s="122">
        <v>5.09</v>
      </c>
      <c r="M33" s="122" t="s">
        <v>243</v>
      </c>
    </row>
    <row r="34" ht="13.5" spans="1:13">
      <c r="A34" s="124">
        <v>10.2</v>
      </c>
      <c r="B34" s="47" t="s">
        <v>64</v>
      </c>
      <c r="C34" s="131"/>
      <c r="D34" s="131"/>
      <c r="E34" s="131"/>
      <c r="F34" s="134">
        <f>960*200/10000</f>
        <v>19.2</v>
      </c>
      <c r="G34" s="122">
        <f t="shared" si="4"/>
        <v>19.2</v>
      </c>
      <c r="H34" s="77" t="s">
        <v>48</v>
      </c>
      <c r="I34" s="157"/>
      <c r="J34" s="158"/>
      <c r="L34" s="161"/>
      <c r="M34" s="161"/>
    </row>
    <row r="35" ht="13.5" spans="1:13">
      <c r="A35" s="124">
        <v>10.3</v>
      </c>
      <c r="B35" s="47" t="s">
        <v>66</v>
      </c>
      <c r="C35" s="118"/>
      <c r="D35" s="118"/>
      <c r="E35" s="118"/>
      <c r="F35" s="135">
        <f>((103.8-38.8)/(3000-1000)*(G5-1000)+38.8)*0.9*0.779</f>
        <v>48.2501916727785</v>
      </c>
      <c r="G35" s="122">
        <f t="shared" si="4"/>
        <v>48.2501916727785</v>
      </c>
      <c r="H35" s="77" t="s">
        <v>244</v>
      </c>
      <c r="I35" s="157"/>
      <c r="J35" s="158"/>
      <c r="L35" s="122">
        <v>77.88</v>
      </c>
      <c r="M35" s="122" t="s">
        <v>245</v>
      </c>
    </row>
    <row r="36" ht="13.5" spans="1:10">
      <c r="A36" s="117">
        <v>11</v>
      </c>
      <c r="B36" s="47" t="s">
        <v>68</v>
      </c>
      <c r="C36" s="118"/>
      <c r="D36" s="118"/>
      <c r="E36" s="118"/>
      <c r="F36" s="131">
        <f>(38.8*6.5%+(F35/0.8-38.8)*6%)*0.8</f>
        <v>3.05021150036671</v>
      </c>
      <c r="G36" s="122">
        <f t="shared" si="4"/>
        <v>3.05021150036671</v>
      </c>
      <c r="H36" s="77" t="s">
        <v>246</v>
      </c>
      <c r="I36" s="157"/>
      <c r="J36" s="158"/>
    </row>
    <row r="37" ht="13.5" spans="1:10">
      <c r="A37" s="117">
        <v>12</v>
      </c>
      <c r="B37" s="47" t="s">
        <v>70</v>
      </c>
      <c r="C37" s="131"/>
      <c r="D37" s="131"/>
      <c r="E37" s="131"/>
      <c r="F37" s="131">
        <f>G5*0.5%</f>
        <v>9.61856899</v>
      </c>
      <c r="G37" s="122">
        <f t="shared" si="4"/>
        <v>9.61856899</v>
      </c>
      <c r="H37" s="77" t="s">
        <v>247</v>
      </c>
      <c r="I37" s="157"/>
      <c r="J37" s="158"/>
    </row>
    <row r="38" ht="13.5" spans="1:10">
      <c r="A38" s="117">
        <v>13</v>
      </c>
      <c r="B38" s="47" t="s">
        <v>72</v>
      </c>
      <c r="C38" s="131"/>
      <c r="D38" s="131"/>
      <c r="E38" s="131"/>
      <c r="F38" s="131">
        <f>G5*0.3%</f>
        <v>5.771141394</v>
      </c>
      <c r="G38" s="122">
        <f t="shared" si="4"/>
        <v>5.771141394</v>
      </c>
      <c r="H38" s="77" t="s">
        <v>248</v>
      </c>
      <c r="I38" s="157"/>
      <c r="J38" s="158"/>
    </row>
    <row r="39" ht="13.5" spans="1:10">
      <c r="A39" s="117">
        <v>14</v>
      </c>
      <c r="B39" s="47" t="s">
        <v>74</v>
      </c>
      <c r="C39" s="131"/>
      <c r="D39" s="131"/>
      <c r="E39" s="131"/>
      <c r="F39" s="131">
        <f>(G11*1.2%+G6*0.7%)*0.8</f>
        <v>16.9868351088</v>
      </c>
      <c r="G39" s="122">
        <f t="shared" si="4"/>
        <v>16.9868351088</v>
      </c>
      <c r="H39" s="77" t="s">
        <v>249</v>
      </c>
      <c r="I39" s="157"/>
      <c r="J39" s="158"/>
    </row>
    <row r="40" ht="13.5" spans="1:10">
      <c r="A40" s="117">
        <v>15</v>
      </c>
      <c r="B40" s="136" t="s">
        <v>76</v>
      </c>
      <c r="C40" s="131"/>
      <c r="D40" s="131"/>
      <c r="E40" s="131"/>
      <c r="F40" s="131">
        <f>G57*0.25%*0.6</f>
        <v>4.95099</v>
      </c>
      <c r="G40" s="122">
        <f t="shared" ref="G39:G54" si="5">F40</f>
        <v>4.95099</v>
      </c>
      <c r="H40" s="77" t="s">
        <v>250</v>
      </c>
      <c r="I40" s="157"/>
      <c r="J40" s="158"/>
    </row>
    <row r="41" ht="13.5" spans="1:10">
      <c r="A41" s="117">
        <v>16</v>
      </c>
      <c r="B41" s="136" t="s">
        <v>78</v>
      </c>
      <c r="C41" s="131"/>
      <c r="D41" s="131"/>
      <c r="E41" s="131"/>
      <c r="F41" s="131">
        <f>G57*0.25%*0.8</f>
        <v>6.60132</v>
      </c>
      <c r="G41" s="122">
        <f t="shared" si="5"/>
        <v>6.60132</v>
      </c>
      <c r="H41" s="77" t="s">
        <v>251</v>
      </c>
      <c r="I41" s="157"/>
      <c r="J41" s="158"/>
    </row>
    <row r="42" ht="13.5" spans="1:10">
      <c r="A42" s="117">
        <v>17</v>
      </c>
      <c r="B42" s="137" t="s">
        <v>79</v>
      </c>
      <c r="C42" s="138"/>
      <c r="D42" s="138"/>
      <c r="E42" s="138"/>
      <c r="F42" s="139">
        <f>6*0.8*1</f>
        <v>4.8</v>
      </c>
      <c r="G42" s="122">
        <f t="shared" si="5"/>
        <v>4.8</v>
      </c>
      <c r="H42" s="77" t="s">
        <v>252</v>
      </c>
      <c r="I42" s="157"/>
      <c r="J42" s="158"/>
    </row>
    <row r="43" ht="13.5" spans="1:10">
      <c r="A43" s="117">
        <v>18</v>
      </c>
      <c r="B43" s="137" t="s">
        <v>80</v>
      </c>
      <c r="C43" s="138"/>
      <c r="D43" s="138"/>
      <c r="E43" s="138"/>
      <c r="F43" s="139">
        <v>0</v>
      </c>
      <c r="G43" s="122">
        <f t="shared" si="5"/>
        <v>0</v>
      </c>
      <c r="H43" s="77" t="s">
        <v>236</v>
      </c>
      <c r="I43" s="157"/>
      <c r="J43" s="158"/>
    </row>
    <row r="44" ht="13.5" spans="1:10">
      <c r="A44" s="117">
        <v>19</v>
      </c>
      <c r="B44" s="140" t="s">
        <v>81</v>
      </c>
      <c r="C44" s="138"/>
      <c r="D44" s="138"/>
      <c r="E44" s="138"/>
      <c r="F44" s="139">
        <f>'zb-推荐方案0108'!G48</f>
        <v>20</v>
      </c>
      <c r="G44" s="122">
        <f t="shared" si="5"/>
        <v>20</v>
      </c>
      <c r="H44" s="77" t="s">
        <v>253</v>
      </c>
      <c r="I44" s="157"/>
      <c r="J44" s="158"/>
    </row>
    <row r="45" ht="13.5" spans="1:10">
      <c r="A45" s="117">
        <v>20</v>
      </c>
      <c r="B45" s="140" t="s">
        <v>82</v>
      </c>
      <c r="C45" s="138"/>
      <c r="D45" s="138"/>
      <c r="E45" s="138"/>
      <c r="F45" s="139">
        <v>0</v>
      </c>
      <c r="G45" s="122">
        <f t="shared" si="5"/>
        <v>0</v>
      </c>
      <c r="H45" s="77" t="s">
        <v>236</v>
      </c>
      <c r="I45" s="157"/>
      <c r="J45" s="158"/>
    </row>
    <row r="46" ht="13.5" spans="1:10">
      <c r="A46" s="117">
        <v>21</v>
      </c>
      <c r="B46" s="140" t="s">
        <v>83</v>
      </c>
      <c r="C46" s="138"/>
      <c r="D46" s="138"/>
      <c r="E46" s="138"/>
      <c r="F46" s="141">
        <f>(2+(4-2)*(G57/10000-0.3)/(2-0.3))*1*1*0.5</f>
        <v>1.01768588235294</v>
      </c>
      <c r="G46" s="122">
        <f t="shared" si="5"/>
        <v>1.01768588235294</v>
      </c>
      <c r="H46" s="77" t="s">
        <v>254</v>
      </c>
      <c r="I46" s="157"/>
      <c r="J46" s="158"/>
    </row>
    <row r="47" ht="13.5" spans="1:10">
      <c r="A47" s="117">
        <v>22</v>
      </c>
      <c r="B47" s="142" t="s">
        <v>255</v>
      </c>
      <c r="C47" s="143"/>
      <c r="D47" s="143"/>
      <c r="E47" s="143"/>
      <c r="F47" s="139">
        <f>'zb-推荐方案0108'!G51</f>
        <v>50</v>
      </c>
      <c r="G47" s="122">
        <f t="shared" si="5"/>
        <v>50</v>
      </c>
      <c r="H47" s="77" t="s">
        <v>253</v>
      </c>
      <c r="I47" s="157"/>
      <c r="J47" s="158"/>
    </row>
    <row r="48" ht="13.5" spans="1:10">
      <c r="A48" s="117">
        <v>23</v>
      </c>
      <c r="B48" s="144" t="s">
        <v>85</v>
      </c>
      <c r="C48" s="145"/>
      <c r="D48" s="145"/>
      <c r="E48" s="145"/>
      <c r="F48" s="139">
        <f>'zb-推荐方案0108'!G52</f>
        <v>15</v>
      </c>
      <c r="G48" s="122">
        <f t="shared" si="5"/>
        <v>15</v>
      </c>
      <c r="H48" s="77" t="s">
        <v>253</v>
      </c>
      <c r="I48" s="157"/>
      <c r="J48" s="158"/>
    </row>
    <row r="49" ht="13.5" spans="1:10">
      <c r="A49" s="117">
        <v>24</v>
      </c>
      <c r="B49" s="144" t="s">
        <v>256</v>
      </c>
      <c r="C49" s="145"/>
      <c r="D49" s="145"/>
      <c r="E49" s="145"/>
      <c r="F49" s="139">
        <v>3</v>
      </c>
      <c r="G49" s="122">
        <f t="shared" si="5"/>
        <v>3</v>
      </c>
      <c r="H49" s="77" t="s">
        <v>257</v>
      </c>
      <c r="I49" s="157"/>
      <c r="J49" s="158"/>
    </row>
    <row r="50" ht="13.5" spans="1:10">
      <c r="A50" s="117">
        <v>25</v>
      </c>
      <c r="B50" s="144" t="s">
        <v>86</v>
      </c>
      <c r="C50" s="145"/>
      <c r="D50" s="145"/>
      <c r="E50" s="145"/>
      <c r="F50" s="141">
        <v>7</v>
      </c>
      <c r="G50" s="122">
        <f t="shared" si="5"/>
        <v>7</v>
      </c>
      <c r="H50" s="77" t="s">
        <v>48</v>
      </c>
      <c r="I50" s="157"/>
      <c r="J50" s="158"/>
    </row>
    <row r="51" ht="13.5" spans="1:10">
      <c r="A51" s="117">
        <v>26</v>
      </c>
      <c r="B51" s="144" t="s">
        <v>87</v>
      </c>
      <c r="C51" s="145"/>
      <c r="D51" s="145"/>
      <c r="E51" s="145"/>
      <c r="F51" s="139">
        <v>0</v>
      </c>
      <c r="G51" s="122">
        <f t="shared" si="5"/>
        <v>0</v>
      </c>
      <c r="H51" s="77" t="s">
        <v>258</v>
      </c>
      <c r="I51" s="157"/>
      <c r="J51" s="158"/>
    </row>
    <row r="52" ht="13.5" spans="1:10">
      <c r="A52" s="117">
        <v>27</v>
      </c>
      <c r="B52" s="144" t="s">
        <v>88</v>
      </c>
      <c r="C52" s="145"/>
      <c r="D52" s="145"/>
      <c r="E52" s="145"/>
      <c r="F52" s="139">
        <f>1143.7*4/10000</f>
        <v>0.45748</v>
      </c>
      <c r="G52" s="122">
        <f t="shared" si="5"/>
        <v>0.45748</v>
      </c>
      <c r="H52" s="77" t="s">
        <v>259</v>
      </c>
      <c r="I52" s="157"/>
      <c r="J52" s="158"/>
    </row>
    <row r="53" ht="13.5" spans="1:10">
      <c r="A53" s="117" t="s">
        <v>260</v>
      </c>
      <c r="B53" s="45" t="s">
        <v>184</v>
      </c>
      <c r="C53" s="118"/>
      <c r="D53" s="118"/>
      <c r="E53" s="118"/>
      <c r="F53" s="123">
        <f>F54</f>
        <v>113.374437769791</v>
      </c>
      <c r="G53" s="121">
        <f t="shared" si="5"/>
        <v>113.374437769791</v>
      </c>
      <c r="H53" s="130"/>
      <c r="I53" s="157"/>
      <c r="J53" s="158"/>
    </row>
    <row r="54" ht="13.5" spans="1:10">
      <c r="A54" s="117"/>
      <c r="B54" s="47" t="s">
        <v>261</v>
      </c>
      <c r="C54" s="118"/>
      <c r="D54" s="118"/>
      <c r="E54" s="118"/>
      <c r="F54" s="146">
        <f>(G5+F16-F17)*0.05</f>
        <v>113.374437769791</v>
      </c>
      <c r="G54" s="131">
        <f t="shared" si="5"/>
        <v>113.374437769791</v>
      </c>
      <c r="H54" s="130"/>
      <c r="I54" s="157"/>
      <c r="J54" s="158"/>
    </row>
    <row r="55" ht="13.5" spans="1:10">
      <c r="A55" s="147" t="s">
        <v>262</v>
      </c>
      <c r="B55" s="45" t="s">
        <v>185</v>
      </c>
      <c r="C55" s="123">
        <f>C5+C16+C53</f>
        <v>1827.332372</v>
      </c>
      <c r="D55" s="123">
        <f>D5+D16+D53</f>
        <v>96.381426</v>
      </c>
      <c r="E55" s="123">
        <f>E5+E16+E53</f>
        <v>0</v>
      </c>
      <c r="F55" s="123">
        <f>F5+F16+F53</f>
        <v>1378.96939516561</v>
      </c>
      <c r="G55" s="121">
        <f>SUM(C55:F55)</f>
        <v>3302.68319316561</v>
      </c>
      <c r="H55" s="130"/>
      <c r="I55" s="157"/>
      <c r="J55" s="158"/>
    </row>
    <row r="57" spans="7:7">
      <c r="G57" s="110">
        <v>3300.66</v>
      </c>
    </row>
    <row r="59" spans="4:8">
      <c r="D59" s="118"/>
      <c r="E59" s="118" t="s">
        <v>263</v>
      </c>
      <c r="F59" s="118" t="s">
        <v>264</v>
      </c>
      <c r="G59" s="118" t="s">
        <v>265</v>
      </c>
      <c r="H59" s="118" t="s">
        <v>266</v>
      </c>
    </row>
    <row r="60" spans="4:8">
      <c r="D60" s="118" t="s">
        <v>267</v>
      </c>
      <c r="E60" s="118">
        <v>2067.66</v>
      </c>
      <c r="F60" s="118">
        <f>G5</f>
        <v>1923.713798</v>
      </c>
      <c r="G60" s="118">
        <f>F60-E60</f>
        <v>-143.946202</v>
      </c>
      <c r="H60" s="148">
        <f>G60/E60</f>
        <v>-0.0696179265449833</v>
      </c>
    </row>
    <row r="61" spans="4:8">
      <c r="D61" s="118" t="s">
        <v>268</v>
      </c>
      <c r="E61" s="118">
        <v>1645.13</v>
      </c>
      <c r="F61" s="118">
        <f>G16</f>
        <v>1265.59495739582</v>
      </c>
      <c r="G61" s="118">
        <f>F61-E61</f>
        <v>-379.535042604181</v>
      </c>
      <c r="H61" s="148">
        <f>G61/E61</f>
        <v>-0.230702158859289</v>
      </c>
    </row>
    <row r="62" spans="4:8">
      <c r="D62" s="118" t="s">
        <v>269</v>
      </c>
      <c r="E62" s="118">
        <v>207.18</v>
      </c>
      <c r="F62" s="118">
        <f>G53</f>
        <v>113.374437769791</v>
      </c>
      <c r="G62" s="118">
        <f>F62-E62</f>
        <v>-93.8055622302091</v>
      </c>
      <c r="H62" s="148">
        <f>G62/E62</f>
        <v>-0.452773251424892</v>
      </c>
    </row>
    <row r="63" spans="4:8">
      <c r="D63" s="118" t="s">
        <v>270</v>
      </c>
      <c r="E63" s="118">
        <v>3919.97</v>
      </c>
      <c r="F63" s="118">
        <f>G55</f>
        <v>3302.68319316561</v>
      </c>
      <c r="G63" s="118">
        <f>F63-E63</f>
        <v>-617.28680683439</v>
      </c>
      <c r="H63" s="148">
        <f>G63/E63</f>
        <v>-0.157472329337824</v>
      </c>
    </row>
  </sheetData>
  <mergeCells count="56">
    <mergeCell ref="A1:J1"/>
    <mergeCell ref="C3:G3"/>
    <mergeCell ref="H3:J3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A3:A4"/>
    <mergeCell ref="B3:B4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workbookViewId="0">
      <pane ySplit="2" topLeftCell="A33" activePane="bottomLeft" state="frozen"/>
      <selection/>
      <selection pane="bottomLeft" activeCell="J15" sqref="J15"/>
    </sheetView>
  </sheetViews>
  <sheetFormatPr defaultColWidth="9" defaultRowHeight="13.5"/>
  <cols>
    <col min="1" max="1" width="9" style="93"/>
    <col min="2" max="2" width="34.375" style="93" customWidth="1"/>
    <col min="3" max="3" width="18.75" style="93" customWidth="1"/>
    <col min="4" max="4" width="14.25" style="93" customWidth="1"/>
    <col min="5" max="5" width="14.125" style="93" customWidth="1"/>
    <col min="6" max="6" width="9" style="93"/>
    <col min="7" max="7" width="31.75" style="93" customWidth="1"/>
    <col min="10" max="10" width="23.375" customWidth="1"/>
    <col min="11" max="11" width="13.75"/>
    <col min="12" max="13" width="9.125"/>
    <col min="14" max="14" width="9.25"/>
  </cols>
  <sheetData>
    <row r="1" ht="50" customHeight="1" spans="1:7">
      <c r="A1" s="94" t="s">
        <v>271</v>
      </c>
      <c r="B1" s="95"/>
      <c r="C1" s="95"/>
      <c r="D1" s="95"/>
      <c r="E1" s="95"/>
      <c r="F1" s="95"/>
      <c r="G1" s="96"/>
    </row>
    <row r="2" s="92" customFormat="1" ht="24" customHeight="1" spans="1:7">
      <c r="A2" s="97" t="s">
        <v>272</v>
      </c>
      <c r="B2" s="97" t="s">
        <v>273</v>
      </c>
      <c r="C2" s="97" t="s">
        <v>274</v>
      </c>
      <c r="D2" s="97" t="s">
        <v>275</v>
      </c>
      <c r="E2" s="97" t="s">
        <v>276</v>
      </c>
      <c r="F2" s="97" t="s">
        <v>277</v>
      </c>
      <c r="G2" s="97" t="s">
        <v>278</v>
      </c>
    </row>
    <row r="3" spans="1:7">
      <c r="A3" s="98" t="str">
        <f>审定概算!A5</f>
        <v>一</v>
      </c>
      <c r="B3" s="98" t="str">
        <f>审定概算!B5</f>
        <v>工程费用</v>
      </c>
      <c r="C3" s="99">
        <f>'zb-推荐方案0108'!H5</f>
        <v>2169.869763</v>
      </c>
      <c r="D3" s="99">
        <f>审定概算!G5</f>
        <v>1923.713798</v>
      </c>
      <c r="E3" s="98">
        <f>D3-C3</f>
        <v>-246.155965</v>
      </c>
      <c r="F3" s="100">
        <f>E3/C3</f>
        <v>-0.11344273706993</v>
      </c>
      <c r="G3" s="98"/>
    </row>
    <row r="4" spans="1:7">
      <c r="A4" s="101">
        <f>审定概算!A6</f>
        <v>1</v>
      </c>
      <c r="B4" s="98" t="str">
        <f>审定概算!B6</f>
        <v>地面道路</v>
      </c>
      <c r="C4" s="98">
        <f>'zb-推荐方案0108'!H6</f>
        <v>449.715372</v>
      </c>
      <c r="D4" s="98">
        <f>审定概算!G6</f>
        <v>370.204338</v>
      </c>
      <c r="E4" s="98">
        <f t="shared" ref="E4:E13" si="0">D4-C4</f>
        <v>-79.511034</v>
      </c>
      <c r="F4" s="100">
        <f t="shared" ref="F4:F13" si="1">E4/C4</f>
        <v>-0.176803015752817</v>
      </c>
      <c r="G4" s="98"/>
    </row>
    <row r="5" spans="1:7">
      <c r="A5" s="102">
        <f>审定概算!A7</f>
        <v>1.1</v>
      </c>
      <c r="B5" s="98" t="str">
        <f>审定概算!B7</f>
        <v>道路工程</v>
      </c>
      <c r="C5" s="98">
        <f>'zb-推荐方案0108'!H7</f>
        <v>359.102572</v>
      </c>
      <c r="D5" s="98">
        <f>审定概算!G7</f>
        <v>303.985773</v>
      </c>
      <c r="E5" s="98">
        <f t="shared" si="0"/>
        <v>-55.116799</v>
      </c>
      <c r="F5" s="100">
        <f t="shared" si="1"/>
        <v>-0.153484834967988</v>
      </c>
      <c r="G5" s="98"/>
    </row>
    <row r="6" spans="1:7">
      <c r="A6" s="102">
        <f>审定概算!A8</f>
        <v>1.2</v>
      </c>
      <c r="B6" s="98" t="str">
        <f>审定概算!B8</f>
        <v>交通设施工程</v>
      </c>
      <c r="C6" s="98">
        <f>'zb-推荐方案0108'!H8</f>
        <v>39.076543</v>
      </c>
      <c r="D6" s="98">
        <f>审定概算!G8</f>
        <v>18.875485</v>
      </c>
      <c r="E6" s="98">
        <f t="shared" si="0"/>
        <v>-20.201058</v>
      </c>
      <c r="F6" s="100">
        <f t="shared" si="1"/>
        <v>-0.516961236821794</v>
      </c>
      <c r="G6" s="98"/>
    </row>
    <row r="7" spans="1:7">
      <c r="A7" s="102">
        <f>审定概算!A9</f>
        <v>1.3</v>
      </c>
      <c r="B7" s="98" t="str">
        <f>审定概算!B9</f>
        <v>道路绿化工程</v>
      </c>
      <c r="C7" s="98">
        <f>'zb-推荐方案0108'!H9</f>
        <v>2.407351</v>
      </c>
      <c r="D7" s="98">
        <f>审定概算!G9</f>
        <v>2.240827</v>
      </c>
      <c r="E7" s="98">
        <f t="shared" si="0"/>
        <v>-0.166524</v>
      </c>
      <c r="F7" s="100">
        <f t="shared" si="1"/>
        <v>-0.0691731284719179</v>
      </c>
      <c r="G7" s="98"/>
    </row>
    <row r="8" spans="1:7">
      <c r="A8" s="102">
        <f>审定概算!A10</f>
        <v>1.4</v>
      </c>
      <c r="B8" s="98" t="str">
        <f>审定概算!B10</f>
        <v>给水工程</v>
      </c>
      <c r="C8" s="98">
        <f>'zb-推荐方案0108'!H10</f>
        <v>49.128906</v>
      </c>
      <c r="D8" s="98">
        <f>审定概算!G10</f>
        <v>45.102253</v>
      </c>
      <c r="E8" s="98">
        <f t="shared" si="0"/>
        <v>-4.026653</v>
      </c>
      <c r="F8" s="100">
        <f t="shared" si="1"/>
        <v>-0.0819609742582095</v>
      </c>
      <c r="G8" s="98"/>
    </row>
    <row r="9" spans="1:7">
      <c r="A9" s="101">
        <f>审定概算!A11</f>
        <v>2</v>
      </c>
      <c r="B9" s="98" t="str">
        <f>审定概算!B11</f>
        <v>人行通道工程</v>
      </c>
      <c r="C9" s="98">
        <f>'zb-推荐方案0108'!H11</f>
        <v>1720.154391</v>
      </c>
      <c r="D9" s="98">
        <f>审定概算!G11</f>
        <v>1553.50946</v>
      </c>
      <c r="E9" s="98">
        <f t="shared" si="0"/>
        <v>-166.644931</v>
      </c>
      <c r="F9" s="100">
        <f t="shared" si="1"/>
        <v>-0.0968778918170956</v>
      </c>
      <c r="G9" s="98"/>
    </row>
    <row r="10" spans="1:7">
      <c r="A10" s="102">
        <f>审定概算!A12</f>
        <v>2.1</v>
      </c>
      <c r="B10" s="98" t="str">
        <f>审定概算!B12</f>
        <v>梯道敞开段土建工程</v>
      </c>
      <c r="C10" s="98">
        <f>'zb-推荐方案0108'!H12</f>
        <v>262.114859</v>
      </c>
      <c r="D10" s="98">
        <f>审定概算!G12</f>
        <v>230.530266</v>
      </c>
      <c r="E10" s="98">
        <f t="shared" si="0"/>
        <v>-31.584593</v>
      </c>
      <c r="F10" s="100">
        <f t="shared" si="1"/>
        <v>-0.120499055721217</v>
      </c>
      <c r="G10" s="98"/>
    </row>
    <row r="11" spans="1:7">
      <c r="A11" s="102">
        <f>审定概算!A13</f>
        <v>2.2</v>
      </c>
      <c r="B11" s="98" t="str">
        <f>审定概算!B13</f>
        <v>通道及梯道暗埋段土建工程</v>
      </c>
      <c r="C11" s="98">
        <f>'zb-推荐方案0108'!H13</f>
        <v>980.235781</v>
      </c>
      <c r="D11" s="98">
        <f>审定概算!G13</f>
        <v>899.183232</v>
      </c>
      <c r="E11" s="98">
        <f t="shared" si="0"/>
        <v>-81.052549</v>
      </c>
      <c r="F11" s="100">
        <f t="shared" si="1"/>
        <v>-0.0826867888022953</v>
      </c>
      <c r="G11" s="98"/>
    </row>
    <row r="12" spans="1:7">
      <c r="A12" s="102">
        <f>审定概算!A14</f>
        <v>2.3</v>
      </c>
      <c r="B12" s="98" t="str">
        <f>审定概算!B14</f>
        <v>地道安装工程</v>
      </c>
      <c r="C12" s="98">
        <f>'zb-推荐方案0108'!H14</f>
        <v>131.722862</v>
      </c>
      <c r="D12" s="98">
        <f>审定概算!G14</f>
        <v>96.381426</v>
      </c>
      <c r="E12" s="98">
        <f t="shared" si="0"/>
        <v>-35.341436</v>
      </c>
      <c r="F12" s="100">
        <f t="shared" si="1"/>
        <v>-0.268301458557741</v>
      </c>
      <c r="G12" s="98"/>
    </row>
    <row r="13" spans="1:7">
      <c r="A13" s="102">
        <f>审定概算!A15</f>
        <v>2.4</v>
      </c>
      <c r="B13" s="98" t="str">
        <f>审定概算!B15</f>
        <v>建筑工程</v>
      </c>
      <c r="C13" s="98">
        <f>'zb-推荐方案0108'!H15</f>
        <v>346.080889</v>
      </c>
      <c r="D13" s="98">
        <f>审定概算!G15</f>
        <v>327.414536</v>
      </c>
      <c r="E13" s="98">
        <f t="shared" si="0"/>
        <v>-18.666353</v>
      </c>
      <c r="F13" s="100">
        <f t="shared" si="1"/>
        <v>-0.0539363876865215</v>
      </c>
      <c r="G13" s="98"/>
    </row>
    <row r="14" spans="1:7">
      <c r="A14" s="98" t="str">
        <f>审定概算!A16</f>
        <v>二</v>
      </c>
      <c r="B14" s="98" t="str">
        <f>审定概算!B16</f>
        <v>工程建设其他费用</v>
      </c>
      <c r="C14" s="99">
        <f>'zb-推荐方案0108'!H18</f>
        <v>1630.86950917777</v>
      </c>
      <c r="D14" s="99">
        <f>审定概算!G16</f>
        <v>1265.59495739582</v>
      </c>
      <c r="E14" s="98">
        <f t="shared" ref="E14:E32" si="2">D14-C14</f>
        <v>-365.274551781951</v>
      </c>
      <c r="F14" s="100">
        <f t="shared" ref="F14:F32" si="3">E14/C14</f>
        <v>-0.223975339367348</v>
      </c>
      <c r="G14" s="98"/>
    </row>
    <row r="15" spans="1:7">
      <c r="A15" s="101">
        <f>审定概算!A17</f>
        <v>1</v>
      </c>
      <c r="B15" s="98" t="str">
        <f>审定概算!B17</f>
        <v>管线保护及迁改</v>
      </c>
      <c r="C15" s="98">
        <f>'zb-推荐方案0108'!H20</f>
        <v>1123.09</v>
      </c>
      <c r="D15" s="98">
        <f>审定概算!G17</f>
        <v>921.82</v>
      </c>
      <c r="E15" s="98">
        <f t="shared" si="2"/>
        <v>-201.27</v>
      </c>
      <c r="F15" s="100">
        <f t="shared" si="3"/>
        <v>-0.179210926996055</v>
      </c>
      <c r="G15" s="98"/>
    </row>
    <row r="16" spans="1:7">
      <c r="A16" s="101">
        <f>审定概算!A18</f>
        <v>2</v>
      </c>
      <c r="B16" s="98" t="str">
        <f>审定概算!B18</f>
        <v>建设单位管理费</v>
      </c>
      <c r="C16" s="98">
        <f>'zb-推荐方案0108'!G21</f>
        <v>46.4758384984218</v>
      </c>
      <c r="D16" s="98">
        <f>审定概算!G18</f>
        <v>40.7</v>
      </c>
      <c r="E16" s="98">
        <f t="shared" si="2"/>
        <v>-5.7758384984218</v>
      </c>
      <c r="F16" s="100">
        <f t="shared" si="3"/>
        <v>-0.12427615477272</v>
      </c>
      <c r="G16" s="98" t="str">
        <f>审定概算!H18</f>
        <v>财建〔2016〕504号</v>
      </c>
    </row>
    <row r="17" spans="1:7">
      <c r="A17" s="101">
        <f>审定概算!A19</f>
        <v>3</v>
      </c>
      <c r="B17" s="220" t="str">
        <f>审定概算!B19</f>
        <v>工程监理费</v>
      </c>
      <c r="C17" s="98">
        <f>'zb-推荐方案0108'!G22</f>
        <v>58.176874312</v>
      </c>
      <c r="D17" s="98">
        <f>审定概算!G19</f>
        <v>41.8153049216</v>
      </c>
      <c r="E17" s="98">
        <f t="shared" si="2"/>
        <v>-16.3615693904</v>
      </c>
      <c r="F17" s="100">
        <f t="shared" si="3"/>
        <v>-0.281238371498847</v>
      </c>
      <c r="G17" s="98" t="str">
        <f>审定概算!H19</f>
        <v>发改价格〔2007〕670号，八折计入</v>
      </c>
    </row>
    <row r="18" spans="1:7">
      <c r="A18" s="101">
        <f>审定概算!A20</f>
        <v>4</v>
      </c>
      <c r="B18" s="98" t="str">
        <f>审定概算!B20</f>
        <v>工程造价咨询费</v>
      </c>
      <c r="C18" s="98">
        <f>C19+C20</f>
        <v>18.5749841514</v>
      </c>
      <c r="D18" s="98">
        <f>审定概算!G20</f>
        <v>12.42808994592</v>
      </c>
      <c r="E18" s="98">
        <f t="shared" si="2"/>
        <v>-6.14689420548</v>
      </c>
      <c r="F18" s="100">
        <f t="shared" si="3"/>
        <v>-0.33092325438225</v>
      </c>
      <c r="G18" s="98"/>
    </row>
    <row r="19" spans="1:7">
      <c r="A19" s="102">
        <f>审定概算!A21</f>
        <v>4.1</v>
      </c>
      <c r="B19" s="98" t="str">
        <f>审定概算!B21</f>
        <v>工程量清单编制</v>
      </c>
      <c r="C19" s="98">
        <f>'zb-推荐方案0108'!G24</f>
        <v>9.479479052</v>
      </c>
      <c r="D19" s="98">
        <f>审定概算!G21</f>
        <v>5.9</v>
      </c>
      <c r="E19" s="98">
        <f t="shared" si="2"/>
        <v>-3.579479052</v>
      </c>
      <c r="F19" s="100">
        <f t="shared" si="3"/>
        <v>-0.377602928638235</v>
      </c>
      <c r="G19" s="98" t="str">
        <f>审定概算!H21</f>
        <v>合同价</v>
      </c>
    </row>
    <row r="20" spans="1:7">
      <c r="A20" s="102">
        <f>审定概算!A22</f>
        <v>4.2</v>
      </c>
      <c r="B20" s="98" t="str">
        <f>审定概算!B22</f>
        <v>竣工结算审核</v>
      </c>
      <c r="C20" s="98">
        <f>'zb-推荐方案0108'!G25</f>
        <v>9.0955050994</v>
      </c>
      <c r="D20" s="98">
        <f>审定概算!G22</f>
        <v>6.52808994592</v>
      </c>
      <c r="E20" s="98">
        <f t="shared" si="2"/>
        <v>-2.56741515348</v>
      </c>
      <c r="F20" s="100">
        <f t="shared" si="3"/>
        <v>-0.282272960701145</v>
      </c>
      <c r="G20" s="98" t="str">
        <f>审定概算!H22</f>
        <v>琼价协〔2020〕01号，八折计入</v>
      </c>
    </row>
    <row r="21" spans="1:7">
      <c r="A21" s="101">
        <f>审定概算!A23</f>
        <v>5</v>
      </c>
      <c r="B21" s="98" t="str">
        <f>审定概算!B23</f>
        <v>可行性研究报告编制费</v>
      </c>
      <c r="C21" s="98">
        <f>'zb-推荐方案0108'!H26</f>
        <v>5.6</v>
      </c>
      <c r="D21" s="98">
        <f>审定概算!G23</f>
        <v>5.6</v>
      </c>
      <c r="E21" s="98">
        <f t="shared" si="2"/>
        <v>0</v>
      </c>
      <c r="F21" s="100">
        <f t="shared" si="3"/>
        <v>0</v>
      </c>
      <c r="G21" s="98" t="str">
        <f>审定概算!H23</f>
        <v>合同价</v>
      </c>
    </row>
    <row r="22" spans="1:7">
      <c r="A22" s="101">
        <f>审定概算!A24</f>
        <v>6</v>
      </c>
      <c r="B22" s="98" t="str">
        <f>审定概算!B24</f>
        <v>建设项目环境影响咨询费</v>
      </c>
      <c r="C22" s="98">
        <f>'zb-推荐方案0108'!H28</f>
        <v>6.46181309481511</v>
      </c>
      <c r="D22" s="98">
        <f>审定概算!G24</f>
        <v>0</v>
      </c>
      <c r="E22" s="98">
        <f t="shared" si="2"/>
        <v>-6.46181309481511</v>
      </c>
      <c r="F22" s="100">
        <f t="shared" si="3"/>
        <v>-1</v>
      </c>
      <c r="G22" s="98" t="str">
        <f>审定概算!H24</f>
        <v>不发生</v>
      </c>
    </row>
    <row r="23" spans="1:7">
      <c r="A23" s="101">
        <f>审定概算!A25</f>
        <v>7</v>
      </c>
      <c r="B23" s="98" t="str">
        <f>审定概算!B25</f>
        <v>水土保持费</v>
      </c>
      <c r="C23" s="98">
        <f>'zb-推荐方案0108'!H29</f>
        <v>15.2306056567348</v>
      </c>
      <c r="D23" s="98">
        <f>审定概算!G25</f>
        <v>13.8507393456</v>
      </c>
      <c r="E23" s="98">
        <f t="shared" si="2"/>
        <v>-1.3798663111348</v>
      </c>
      <c r="F23" s="100">
        <f t="shared" si="3"/>
        <v>-0.0905982560532411</v>
      </c>
      <c r="G23" s="98"/>
    </row>
    <row r="24" spans="1:7">
      <c r="A24" s="102">
        <f>审定概算!A26</f>
        <v>7.1</v>
      </c>
      <c r="B24" s="98" t="str">
        <f>审定概算!B26</f>
        <v>水土保持方案编制费</v>
      </c>
      <c r="C24" s="98">
        <f>'zb-推荐方案0108'!H30</f>
        <v>6.20297695144152</v>
      </c>
      <c r="D24" s="98">
        <f>审定概算!G26</f>
        <v>5.771141394</v>
      </c>
      <c r="E24" s="98">
        <f t="shared" si="2"/>
        <v>-0.43183555744152</v>
      </c>
      <c r="F24" s="100">
        <f t="shared" si="3"/>
        <v>-0.0696174692928957</v>
      </c>
      <c r="G24" s="98" t="str">
        <f>审定概算!H26</f>
        <v>保监〔2005〕22号,五折计入</v>
      </c>
    </row>
    <row r="25" spans="1:7">
      <c r="A25" s="102">
        <f>审定概算!A27</f>
        <v>7.2</v>
      </c>
      <c r="B25" s="98" t="str">
        <f>审定概算!B27</f>
        <v>水土保持监测费</v>
      </c>
      <c r="C25" s="98">
        <f>'zb-推荐方案0108'!H31</f>
        <v>6.20297695144152</v>
      </c>
      <c r="D25" s="98">
        <f>审定概算!G27</f>
        <v>5.771141394</v>
      </c>
      <c r="E25" s="98">
        <f t="shared" si="2"/>
        <v>-0.43183555744152</v>
      </c>
      <c r="F25" s="100">
        <f t="shared" si="3"/>
        <v>-0.0696174692928957</v>
      </c>
      <c r="G25" s="98" t="str">
        <f>审定概算!H27</f>
        <v>保监〔2005〕22号,五折计入</v>
      </c>
    </row>
    <row r="26" spans="1:7">
      <c r="A26" s="102">
        <f>审定概算!A28</f>
        <v>7.3</v>
      </c>
      <c r="B26" s="98" t="str">
        <f>审定概算!B28</f>
        <v>水土保持设施竣工验收技术评估报告编制费</v>
      </c>
      <c r="C26" s="98">
        <f>'zb-推荐方案0108'!H32</f>
        <v>0.75699277003797</v>
      </c>
      <c r="D26" s="98">
        <f>审定概算!G28</f>
        <v>1.923713798</v>
      </c>
      <c r="E26" s="98">
        <f t="shared" si="2"/>
        <v>1.16672102796203</v>
      </c>
      <c r="F26" s="100">
        <f t="shared" si="3"/>
        <v>1.54125782192544</v>
      </c>
      <c r="G26" s="98" t="str">
        <f>审定概算!H28</f>
        <v>保监〔2005〕22号,五折计入</v>
      </c>
    </row>
    <row r="27" spans="1:7">
      <c r="A27" s="102">
        <f>审定概算!A29</f>
        <v>7.4</v>
      </c>
      <c r="B27" s="98" t="str">
        <f>审定概算!B29</f>
        <v>水土保持技术文件技术咨询服务费</v>
      </c>
      <c r="C27" s="98">
        <f>'zb-推荐方案0108'!H33</f>
        <v>2.06765898381384</v>
      </c>
      <c r="D27" s="98">
        <f>审定概算!G29</f>
        <v>0.3847427596</v>
      </c>
      <c r="E27" s="98">
        <f t="shared" si="2"/>
        <v>-1.68291622421384</v>
      </c>
      <c r="F27" s="100">
        <f t="shared" si="3"/>
        <v>-0.813923493858579</v>
      </c>
      <c r="G27" s="98" t="str">
        <f>审定概算!H29</f>
        <v>保监〔2005〕22号</v>
      </c>
    </row>
    <row r="28" ht="15.75" spans="1:14">
      <c r="A28" s="101">
        <f>审定概算!A30</f>
        <v>8</v>
      </c>
      <c r="B28" s="98" t="str">
        <f>审定概算!B30</f>
        <v>水土保持补偿费</v>
      </c>
      <c r="C28" s="98">
        <f>'zb-推荐方案0108'!H34</f>
        <v>0.76</v>
      </c>
      <c r="D28" s="98">
        <f>审定概算!G30</f>
        <v>0.76</v>
      </c>
      <c r="E28" s="98">
        <f t="shared" si="2"/>
        <v>0</v>
      </c>
      <c r="F28" s="100">
        <f t="shared" si="3"/>
        <v>0</v>
      </c>
      <c r="G28" s="98" t="str">
        <f>审定概算!H30</f>
        <v>琼发改收费〔2021〕716 号</v>
      </c>
      <c r="J28" s="103"/>
      <c r="K28" s="104" t="s">
        <v>186</v>
      </c>
      <c r="L28" s="104" t="s">
        <v>187</v>
      </c>
      <c r="M28" s="104" t="s">
        <v>188</v>
      </c>
      <c r="N28" s="104" t="s">
        <v>189</v>
      </c>
    </row>
    <row r="29" ht="15.75" spans="1:14">
      <c r="A29" s="101">
        <f>审定概算!A31</f>
        <v>9</v>
      </c>
      <c r="B29" s="98" t="str">
        <f>审定概算!B31</f>
        <v>工程招标代理费</v>
      </c>
      <c r="C29" s="98">
        <f>'zb-推荐方案0108'!H35</f>
        <v>12.750878910755</v>
      </c>
      <c r="D29" s="98">
        <f>审定概算!G31</f>
        <v>7.8263986344</v>
      </c>
      <c r="E29" s="98">
        <f t="shared" si="2"/>
        <v>-4.924480276355</v>
      </c>
      <c r="F29" s="100">
        <f t="shared" si="3"/>
        <v>-0.386207124294886</v>
      </c>
      <c r="G29" s="98" t="str">
        <f>审定概算!H31</f>
        <v>琼价费管〔2011〕225号，八折计入</v>
      </c>
      <c r="J29" s="103" t="s">
        <v>190</v>
      </c>
      <c r="K29" s="103">
        <v>3919.97</v>
      </c>
      <c r="L29" s="103">
        <v>2067.66</v>
      </c>
      <c r="M29" s="103">
        <v>1645.13</v>
      </c>
      <c r="N29" s="103">
        <v>207.18</v>
      </c>
    </row>
    <row r="30" ht="15.75" spans="1:14">
      <c r="A30" s="101">
        <f>审定概算!A32</f>
        <v>10</v>
      </c>
      <c r="B30" s="98" t="str">
        <f>审定概算!B32</f>
        <v>工程勘察设计费</v>
      </c>
      <c r="C30" s="98">
        <f>'zb-推荐方案0108'!H36</f>
        <v>98.5194649275</v>
      </c>
      <c r="D30" s="98">
        <f>审定概算!G32</f>
        <v>72.5401916727785</v>
      </c>
      <c r="E30" s="98">
        <f t="shared" si="2"/>
        <v>-25.9792732547215</v>
      </c>
      <c r="F30" s="100">
        <f t="shared" si="3"/>
        <v>-0.263696857000183</v>
      </c>
      <c r="G30" s="98"/>
      <c r="J30" s="103" t="s">
        <v>191</v>
      </c>
      <c r="K30" s="103">
        <f>D66</f>
        <v>0</v>
      </c>
      <c r="L30" s="103">
        <f>D6</f>
        <v>18.875485</v>
      </c>
      <c r="M30" s="103">
        <f>D19</f>
        <v>5.9</v>
      </c>
      <c r="N30" s="103">
        <f>D62</f>
        <v>0</v>
      </c>
    </row>
    <row r="31" ht="15.75" spans="1:14">
      <c r="A31" s="102">
        <f>审定概算!A33</f>
        <v>10.1</v>
      </c>
      <c r="B31" s="98" t="str">
        <f>审定概算!B33</f>
        <v>测绘费用</v>
      </c>
      <c r="C31" s="98">
        <f>'zb-推荐方案0108'!H37</f>
        <v>5.4246744075</v>
      </c>
      <c r="D31" s="98">
        <f>审定概算!G33</f>
        <v>5.09</v>
      </c>
      <c r="E31" s="98">
        <f t="shared" si="2"/>
        <v>-0.334674407500001</v>
      </c>
      <c r="F31" s="100">
        <f t="shared" si="3"/>
        <v>-0.0616948377652471</v>
      </c>
      <c r="G31" s="98" t="str">
        <f>审定概算!H33</f>
        <v>合同价</v>
      </c>
      <c r="J31" s="105" t="s">
        <v>192</v>
      </c>
      <c r="K31" s="106">
        <f t="shared" ref="K31:N31" si="4">K30-K29</f>
        <v>-3919.97</v>
      </c>
      <c r="L31" s="106">
        <f t="shared" si="4"/>
        <v>-2048.784515</v>
      </c>
      <c r="M31" s="106">
        <f t="shared" si="4"/>
        <v>-1639.23</v>
      </c>
      <c r="N31" s="106">
        <f t="shared" si="4"/>
        <v>-207.18</v>
      </c>
    </row>
    <row r="32" ht="15.75" spans="1:14">
      <c r="A32" s="102">
        <f>审定概算!A34</f>
        <v>10.2</v>
      </c>
      <c r="B32" s="98" t="str">
        <f>审定概算!B34</f>
        <v>工程勘察费</v>
      </c>
      <c r="C32" s="98">
        <f>'zb-推荐方案0108'!H38</f>
        <v>16.2740232225</v>
      </c>
      <c r="D32" s="98">
        <f>审定概算!G34</f>
        <v>19.2</v>
      </c>
      <c r="E32" s="98">
        <f t="shared" si="2"/>
        <v>2.9259767775</v>
      </c>
      <c r="F32" s="100">
        <f t="shared" si="3"/>
        <v>0.179794310079061</v>
      </c>
      <c r="G32" s="98" t="str">
        <f>审定概算!H34</f>
        <v>合同价</v>
      </c>
      <c r="J32" s="104" t="s">
        <v>193</v>
      </c>
      <c r="K32" s="107">
        <f t="shared" ref="K32:N32" si="5">K31/K29</f>
        <v>-1</v>
      </c>
      <c r="L32" s="107">
        <f t="shared" si="5"/>
        <v>-0.990871088573557</v>
      </c>
      <c r="M32" s="107">
        <f t="shared" si="5"/>
        <v>-0.996413657279364</v>
      </c>
      <c r="N32" s="107">
        <f t="shared" si="5"/>
        <v>-1</v>
      </c>
    </row>
    <row r="33" spans="1:7">
      <c r="A33" s="102">
        <f>审定概算!A35</f>
        <v>10.3</v>
      </c>
      <c r="B33" s="98" t="str">
        <f>审定概算!B35</f>
        <v>工程设计费</v>
      </c>
      <c r="C33" s="98">
        <f>'zb-推荐方案0108'!H39</f>
        <v>76.8207672975</v>
      </c>
      <c r="D33" s="98">
        <f>审定概算!G35</f>
        <v>48.2501916727785</v>
      </c>
      <c r="E33" s="98">
        <f t="shared" ref="E33:E53" si="6">D33-C33</f>
        <v>-28.5705756247215</v>
      </c>
      <c r="F33" s="100">
        <f t="shared" ref="F33:F52" si="7">E33/C33</f>
        <v>-0.371912135608821</v>
      </c>
      <c r="G33" s="98" t="str">
        <f>审定概算!H35</f>
        <v>计价格〔2002〕10号，按合同约定折扣计算</v>
      </c>
    </row>
    <row r="34" spans="1:7">
      <c r="A34" s="101">
        <f>审定概算!A36</f>
        <v>11</v>
      </c>
      <c r="B34" s="98" t="str">
        <f>审定概算!B36</f>
        <v>施工图审查费</v>
      </c>
      <c r="C34" s="98">
        <f>'zb-推荐方案0108'!H40</f>
        <v>4.9933498743375</v>
      </c>
      <c r="D34" s="98">
        <f>审定概算!G36</f>
        <v>3.05021150036671</v>
      </c>
      <c r="E34" s="98">
        <f t="shared" si="6"/>
        <v>-1.94313837397079</v>
      </c>
      <c r="F34" s="100">
        <f t="shared" si="7"/>
        <v>-0.389145247753864</v>
      </c>
      <c r="G34" s="98" t="str">
        <f>审定概算!H36</f>
        <v>琼价费管〔2011〕224号，八折计入</v>
      </c>
    </row>
    <row r="35" spans="1:7">
      <c r="A35" s="101">
        <f>审定概算!A37</f>
        <v>12</v>
      </c>
      <c r="B35" s="98" t="str">
        <f>审定概算!B37</f>
        <v>场地准备及临时设施费</v>
      </c>
      <c r="C35" s="98">
        <f>'zb-推荐方案0108'!H41</f>
        <v>21.69869763</v>
      </c>
      <c r="D35" s="98">
        <f>审定概算!G37</f>
        <v>9.61856899</v>
      </c>
      <c r="E35" s="98">
        <f t="shared" si="6"/>
        <v>-12.08012864</v>
      </c>
      <c r="F35" s="100">
        <f t="shared" si="7"/>
        <v>-0.556721368534965</v>
      </c>
      <c r="G35" s="98" t="str">
        <f>审定概算!H37</f>
        <v>工程费×0.5%</v>
      </c>
    </row>
    <row r="36" spans="1:7">
      <c r="A36" s="101">
        <f>审定概算!A38</f>
        <v>13</v>
      </c>
      <c r="B36" s="98" t="str">
        <f>审定概算!B38</f>
        <v>工程保险费</v>
      </c>
      <c r="C36" s="98">
        <f>'zb-推荐方案0108'!H42</f>
        <v>9.7644139335</v>
      </c>
      <c r="D36" s="98">
        <f>审定概算!G38</f>
        <v>5.771141394</v>
      </c>
      <c r="E36" s="98">
        <f t="shared" si="6"/>
        <v>-3.9932725395</v>
      </c>
      <c r="F36" s="100">
        <f t="shared" si="7"/>
        <v>-0.408961824713287</v>
      </c>
      <c r="G36" s="98" t="str">
        <f>审定概算!H38</f>
        <v>工程费×0.3%</v>
      </c>
    </row>
    <row r="37" spans="1:7">
      <c r="A37" s="101">
        <f>审定概算!A39</f>
        <v>14</v>
      </c>
      <c r="B37" s="98" t="str">
        <f>审定概算!B39</f>
        <v>工程质量检测费</v>
      </c>
      <c r="C37" s="98">
        <f>'zb-推荐方案0108'!H43</f>
        <v>15.189088341</v>
      </c>
      <c r="D37" s="98">
        <f>审定概算!G39</f>
        <v>16.9868351088</v>
      </c>
      <c r="E37" s="98">
        <f t="shared" si="6"/>
        <v>1.7977467678</v>
      </c>
      <c r="F37" s="100">
        <f t="shared" si="7"/>
        <v>0.118357779442716</v>
      </c>
      <c r="G37" s="98" t="str">
        <f>审定概算!H39</f>
        <v>八折计入</v>
      </c>
    </row>
    <row r="38" spans="1:7">
      <c r="A38" s="101">
        <f>审定概算!A40</f>
        <v>15</v>
      </c>
      <c r="B38" s="98" t="str">
        <f>审定概算!B40</f>
        <v>竣工财务决算编制费</v>
      </c>
      <c r="C38" s="98">
        <f>'zb-推荐方案0108'!H44</f>
        <v>5.8215</v>
      </c>
      <c r="D38" s="98">
        <f>审定概算!G40</f>
        <v>4.95099</v>
      </c>
      <c r="E38" s="98">
        <f t="shared" si="6"/>
        <v>-0.87051</v>
      </c>
      <c r="F38" s="100">
        <f t="shared" si="7"/>
        <v>-0.14953362535429</v>
      </c>
      <c r="G38" s="98" t="str">
        <f>审定概算!H40</f>
        <v>按投资额2.5‰的6折计算</v>
      </c>
    </row>
    <row r="39" spans="1:7">
      <c r="A39" s="101">
        <f>审定概算!A41</f>
        <v>16</v>
      </c>
      <c r="B39" s="98" t="str">
        <f>审定概算!B41</f>
        <v>竣工财务决算审查费</v>
      </c>
      <c r="C39" s="98">
        <f>'zb-推荐方案0108'!H45</f>
        <v>7.762</v>
      </c>
      <c r="D39" s="98">
        <f>审定概算!G41</f>
        <v>6.60132</v>
      </c>
      <c r="E39" s="98">
        <f t="shared" si="6"/>
        <v>-1.16068</v>
      </c>
      <c r="F39" s="100">
        <f t="shared" si="7"/>
        <v>-0.14953362535429</v>
      </c>
      <c r="G39" s="98" t="str">
        <f>审定概算!H41</f>
        <v>按投资额2.5‰的8折计算</v>
      </c>
    </row>
    <row r="40" spans="1:7">
      <c r="A40" s="101">
        <f>审定概算!A42</f>
        <v>17</v>
      </c>
      <c r="B40" s="98" t="str">
        <f>审定概算!B42</f>
        <v>地质灾害危险性评估报告</v>
      </c>
      <c r="C40" s="98">
        <f>'zb-推荐方案0108'!H46</f>
        <v>10</v>
      </c>
      <c r="D40" s="98">
        <f>审定概算!G42</f>
        <v>4.8</v>
      </c>
      <c r="E40" s="98">
        <f t="shared" si="6"/>
        <v>-5.2</v>
      </c>
      <c r="F40" s="100">
        <f t="shared" si="7"/>
        <v>-0.52</v>
      </c>
      <c r="G40" s="98" t="str">
        <f>审定概算!H42</f>
        <v>发改办价格〔2006〕745 号</v>
      </c>
    </row>
    <row r="41" spans="1:7">
      <c r="A41" s="101">
        <f>审定概算!A43</f>
        <v>18</v>
      </c>
      <c r="B41" s="98" t="str">
        <f>审定概算!B43</f>
        <v>项目节能评估</v>
      </c>
      <c r="C41" s="98">
        <f>'zb-推荐方案0108'!H47</f>
        <v>10</v>
      </c>
      <c r="D41" s="98">
        <f>审定概算!G43</f>
        <v>0</v>
      </c>
      <c r="E41" s="98">
        <f t="shared" si="6"/>
        <v>-10</v>
      </c>
      <c r="F41" s="100">
        <f t="shared" si="7"/>
        <v>-1</v>
      </c>
      <c r="G41" s="98" t="str">
        <f>审定概算!H43</f>
        <v>不发生</v>
      </c>
    </row>
    <row r="42" spans="1:7">
      <c r="A42" s="101">
        <f>审定概算!A44</f>
        <v>19</v>
      </c>
      <c r="B42" s="98" t="str">
        <f>审定概算!B44</f>
        <v>深基坑监测费</v>
      </c>
      <c r="C42" s="98">
        <f>'zb-推荐方案0108'!H48</f>
        <v>20</v>
      </c>
      <c r="D42" s="98">
        <f>审定概算!G44</f>
        <v>20</v>
      </c>
      <c r="E42" s="98">
        <f t="shared" si="6"/>
        <v>0</v>
      </c>
      <c r="F42" s="100">
        <f t="shared" si="7"/>
        <v>0</v>
      </c>
      <c r="G42" s="98" t="str">
        <f>审定概算!H44</f>
        <v>暂按送审金额计入</v>
      </c>
    </row>
    <row r="43" spans="1:7">
      <c r="A43" s="101">
        <f>审定概算!A45</f>
        <v>20</v>
      </c>
      <c r="B43" s="98" t="str">
        <f>审定概算!B45</f>
        <v>基坑支护设计专项评审费</v>
      </c>
      <c r="C43" s="98">
        <f>'zb-推荐方案0108'!H49</f>
        <v>10</v>
      </c>
      <c r="D43" s="98">
        <f>审定概算!G45</f>
        <v>0</v>
      </c>
      <c r="E43" s="98">
        <f t="shared" si="6"/>
        <v>-10</v>
      </c>
      <c r="F43" s="100">
        <f t="shared" si="7"/>
        <v>-1</v>
      </c>
      <c r="G43" s="98" t="str">
        <f>审定概算!H45</f>
        <v>不发生</v>
      </c>
    </row>
    <row r="44" spans="1:7">
      <c r="A44" s="101">
        <f>审定概算!A46</f>
        <v>21</v>
      </c>
      <c r="B44" s="98" t="str">
        <f>审定概算!B46</f>
        <v>环保验收费用</v>
      </c>
      <c r="C44" s="98">
        <f>'zb-推荐方案0108'!H50</f>
        <v>30</v>
      </c>
      <c r="D44" s="98">
        <f>审定概算!G46</f>
        <v>1.01768588235294</v>
      </c>
      <c r="E44" s="98">
        <f t="shared" si="6"/>
        <v>-28.9823141176471</v>
      </c>
      <c r="F44" s="100">
        <f t="shared" si="7"/>
        <v>-0.966077137254902</v>
      </c>
      <c r="G44" s="98" t="str">
        <f>审定概算!H46</f>
        <v>计价格〔2020〕125 号，五折计入</v>
      </c>
    </row>
    <row r="45" spans="1:7">
      <c r="A45" s="101">
        <f>审定概算!A47</f>
        <v>22</v>
      </c>
      <c r="B45" s="98" t="str">
        <f>审定概算!B47</f>
        <v>供电外线 10KV电源</v>
      </c>
      <c r="C45" s="98">
        <f>'zb-推荐方案0108'!H51</f>
        <v>50</v>
      </c>
      <c r="D45" s="98">
        <f>审定概算!G47</f>
        <v>50</v>
      </c>
      <c r="E45" s="98">
        <f t="shared" si="6"/>
        <v>0</v>
      </c>
      <c r="F45" s="100">
        <f t="shared" si="7"/>
        <v>0</v>
      </c>
      <c r="G45" s="98" t="str">
        <f>审定概算!H47</f>
        <v>暂按送审金额计入</v>
      </c>
    </row>
    <row r="46" spans="1:7">
      <c r="A46" s="101">
        <f>审定概算!A48</f>
        <v>23</v>
      </c>
      <c r="B46" s="98" t="str">
        <f>审定概算!B48</f>
        <v>交通疏导费</v>
      </c>
      <c r="C46" s="98">
        <f>'zb-推荐方案0108'!H52</f>
        <v>15</v>
      </c>
      <c r="D46" s="98">
        <f>审定概算!G48</f>
        <v>15</v>
      </c>
      <c r="E46" s="98">
        <f t="shared" si="6"/>
        <v>0</v>
      </c>
      <c r="F46" s="100">
        <f t="shared" si="7"/>
        <v>0</v>
      </c>
      <c r="G46" s="98" t="str">
        <f>审定概算!H48</f>
        <v>暂按送审金额计入</v>
      </c>
    </row>
    <row r="47" spans="1:7">
      <c r="A47" s="101">
        <f>审定概算!A49</f>
        <v>24</v>
      </c>
      <c r="B47" s="98" t="str">
        <f>审定概算!B49</f>
        <v>社会光缆租用</v>
      </c>
      <c r="C47" s="98"/>
      <c r="D47" s="98">
        <f>审定概算!G49</f>
        <v>3</v>
      </c>
      <c r="E47" s="98">
        <f t="shared" si="6"/>
        <v>3</v>
      </c>
      <c r="F47" s="100">
        <v>1</v>
      </c>
      <c r="G47" s="98" t="str">
        <f>审定概算!H49</f>
        <v>由工程费调入</v>
      </c>
    </row>
    <row r="48" spans="1:7">
      <c r="A48" s="101">
        <f>审定概算!A50</f>
        <v>25</v>
      </c>
      <c r="B48" s="98" t="str">
        <f>审定概算!B50</f>
        <v>节地评价报告编制费</v>
      </c>
      <c r="C48" s="98">
        <f>'zb-推荐方案0108'!H53</f>
        <v>10</v>
      </c>
      <c r="D48" s="98">
        <f>审定概算!G50</f>
        <v>7</v>
      </c>
      <c r="E48" s="98">
        <f t="shared" si="6"/>
        <v>-3</v>
      </c>
      <c r="F48" s="100">
        <f t="shared" ref="F48:F53" si="8">E48/C48</f>
        <v>-0.3</v>
      </c>
      <c r="G48" s="98" t="str">
        <f>审定概算!H50</f>
        <v>合同价</v>
      </c>
    </row>
    <row r="49" spans="1:7">
      <c r="A49" s="101">
        <f>审定概算!A51</f>
        <v>26</v>
      </c>
      <c r="B49" s="98" t="str">
        <f>审定概算!B51</f>
        <v>沉降观测费</v>
      </c>
      <c r="C49" s="98">
        <f>'zb-推荐方案0108'!H54</f>
        <v>20</v>
      </c>
      <c r="D49" s="98">
        <f>审定概算!G51</f>
        <v>0</v>
      </c>
      <c r="E49" s="98">
        <f t="shared" si="6"/>
        <v>-20</v>
      </c>
      <c r="F49" s="100">
        <f t="shared" si="8"/>
        <v>-1</v>
      </c>
      <c r="G49" s="98" t="str">
        <f>审定概算!H51</f>
        <v>计入工程检测费，不单独列项</v>
      </c>
    </row>
    <row r="50" spans="1:7">
      <c r="A50" s="101">
        <f>审定概算!A52</f>
        <v>27</v>
      </c>
      <c r="B50" s="98" t="str">
        <f>审定概算!B52</f>
        <v>白蚁防治费</v>
      </c>
      <c r="C50" s="98">
        <f>'zb-推荐方案0108'!H55</f>
        <v>5</v>
      </c>
      <c r="D50" s="98">
        <f>审定概算!G52</f>
        <v>0.45748</v>
      </c>
      <c r="E50" s="98">
        <f t="shared" si="6"/>
        <v>-4.54252</v>
      </c>
      <c r="F50" s="100">
        <f t="shared" si="8"/>
        <v>-0.908504</v>
      </c>
      <c r="G50" s="98" t="str">
        <f>审定概算!H52</f>
        <v>4元/平米计入</v>
      </c>
    </row>
    <row r="51" spans="1:7">
      <c r="A51" s="101" t="str">
        <f>审定概算!A53</f>
        <v>三</v>
      </c>
      <c r="B51" s="98" t="str">
        <f>审定概算!B53</f>
        <v>预备费</v>
      </c>
      <c r="C51" s="98">
        <f>'zb-推荐方案0108'!H59</f>
        <v>133.882463673849</v>
      </c>
      <c r="D51" s="98">
        <f>审定概算!G53</f>
        <v>113.374437769791</v>
      </c>
      <c r="E51" s="98">
        <f t="shared" si="6"/>
        <v>-20.5080259040581</v>
      </c>
      <c r="F51" s="100">
        <f t="shared" si="8"/>
        <v>-0.153179328653659</v>
      </c>
      <c r="G51" s="98"/>
    </row>
    <row r="52" spans="1:7">
      <c r="A52" s="101">
        <v>1</v>
      </c>
      <c r="B52" s="98" t="str">
        <f>审定概算!B54</f>
        <v>基本预备费5%</v>
      </c>
      <c r="C52" s="98">
        <f>'zb-推荐方案0108'!H60</f>
        <v>133.882463608889</v>
      </c>
      <c r="D52" s="98">
        <f>审定概算!G54</f>
        <v>113.374437769791</v>
      </c>
      <c r="E52" s="98">
        <f t="shared" si="6"/>
        <v>-20.5080258390981</v>
      </c>
      <c r="F52" s="100">
        <f t="shared" si="8"/>
        <v>-0.15317932824278</v>
      </c>
      <c r="G52" s="98"/>
    </row>
    <row r="53" spans="1:7">
      <c r="A53" s="101" t="str">
        <f>审定概算!A55</f>
        <v>四</v>
      </c>
      <c r="B53" s="98" t="str">
        <f>审定概算!B55</f>
        <v>总投资</v>
      </c>
      <c r="C53" s="98">
        <f>'zb-推荐方案0108'!H62</f>
        <v>3934.62173585162</v>
      </c>
      <c r="D53" s="98">
        <f>审定概算!G55</f>
        <v>3302.68319316561</v>
      </c>
      <c r="E53" s="98">
        <f t="shared" si="6"/>
        <v>-631.93854268601</v>
      </c>
      <c r="F53" s="100">
        <f t="shared" si="8"/>
        <v>-0.160609732043081</v>
      </c>
      <c r="G53" s="98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L66"/>
  <sheetViews>
    <sheetView showGridLines="0" showZeros="0" topLeftCell="B1" workbookViewId="0">
      <pane xSplit="1" ySplit="5" topLeftCell="C6" activePane="bottomRight" state="frozen"/>
      <selection/>
      <selection pane="topRight"/>
      <selection pane="bottomLeft"/>
      <selection pane="bottomRight" activeCell="M1" sqref="M$1:M$1048576"/>
    </sheetView>
  </sheetViews>
  <sheetFormatPr defaultColWidth="9" defaultRowHeight="18" customHeight="1"/>
  <cols>
    <col min="1" max="1" width="9" style="30"/>
    <col min="2" max="2" width="5.50833333333333" style="31" customWidth="1"/>
    <col min="3" max="3" width="32.5083333333333" style="30" customWidth="1"/>
    <col min="4" max="4" width="10.1333333333333" style="30" customWidth="1"/>
    <col min="5" max="5" width="8.50833333333333" style="30" customWidth="1"/>
    <col min="6" max="6" width="9.13333333333333" style="30" customWidth="1"/>
    <col min="7" max="8" width="9.88333333333333" style="30" customWidth="1"/>
    <col min="9" max="9" width="7.38333333333333" style="30" customWidth="1"/>
    <col min="10" max="10" width="8.88333333333333" style="32" customWidth="1"/>
    <col min="11" max="11" width="10.3833333333333" style="32" customWidth="1"/>
    <col min="12" max="12" width="18.6333333333333" style="30" customWidth="1"/>
    <col min="13" max="16384" width="9" style="30"/>
  </cols>
  <sheetData>
    <row r="1" s="24" customFormat="1" ht="27" customHeight="1" spans="2:12">
      <c r="B1" s="33" t="s">
        <v>0</v>
      </c>
      <c r="C1" s="34"/>
      <c r="D1" s="34"/>
      <c r="E1" s="34"/>
      <c r="F1" s="34"/>
      <c r="G1" s="34"/>
      <c r="H1" s="34"/>
      <c r="I1" s="66"/>
      <c r="J1" s="67"/>
      <c r="K1" s="68"/>
      <c r="L1" s="69"/>
    </row>
    <row r="2" s="24" customFormat="1" customHeight="1" spans="2:11">
      <c r="B2" s="215" t="s">
        <v>1</v>
      </c>
      <c r="C2" s="36"/>
      <c r="D2" s="36"/>
      <c r="E2" s="36"/>
      <c r="F2" s="36"/>
      <c r="G2" s="36"/>
      <c r="H2" s="36"/>
      <c r="I2" s="36"/>
      <c r="J2" s="70"/>
      <c r="K2" s="70"/>
    </row>
    <row r="3" s="24" customFormat="1" ht="20.25" customHeight="1" spans="2:12">
      <c r="B3" s="37" t="s">
        <v>2</v>
      </c>
      <c r="C3" s="6" t="s">
        <v>3</v>
      </c>
      <c r="D3" s="6" t="s">
        <v>4</v>
      </c>
      <c r="E3" s="6"/>
      <c r="F3" s="6"/>
      <c r="G3" s="6"/>
      <c r="H3" s="6"/>
      <c r="I3" s="6" t="s">
        <v>5</v>
      </c>
      <c r="J3" s="21"/>
      <c r="K3" s="21"/>
      <c r="L3" s="6" t="s">
        <v>6</v>
      </c>
    </row>
    <row r="4" s="24" customFormat="1" ht="25.5" customHeight="1" spans="2:12">
      <c r="B4" s="37"/>
      <c r="C4" s="6"/>
      <c r="D4" s="38" t="s">
        <v>8</v>
      </c>
      <c r="E4" s="38" t="s">
        <v>9</v>
      </c>
      <c r="F4" s="38" t="s">
        <v>10</v>
      </c>
      <c r="G4" s="38" t="s">
        <v>11</v>
      </c>
      <c r="H4" s="38" t="s">
        <v>12</v>
      </c>
      <c r="I4" s="38" t="s">
        <v>13</v>
      </c>
      <c r="J4" s="71" t="s">
        <v>14</v>
      </c>
      <c r="K4" s="71" t="s">
        <v>15</v>
      </c>
      <c r="L4" s="6"/>
    </row>
    <row r="5" s="24" customFormat="1" customHeight="1" spans="2:12">
      <c r="B5" s="37"/>
      <c r="C5" s="39" t="s">
        <v>19</v>
      </c>
      <c r="D5" s="40">
        <v>2314.506598</v>
      </c>
      <c r="E5" s="40">
        <v>0</v>
      </c>
      <c r="F5" s="40">
        <v>0</v>
      </c>
      <c r="G5" s="40">
        <v>0</v>
      </c>
      <c r="H5" s="40">
        <v>2314.506598</v>
      </c>
      <c r="I5" s="49"/>
      <c r="J5" s="72"/>
      <c r="K5" s="72"/>
      <c r="L5" s="49"/>
    </row>
    <row r="6" s="24" customFormat="1" customHeight="1" spans="2:12">
      <c r="B6" s="37" t="s">
        <v>20</v>
      </c>
      <c r="C6" s="41" t="s">
        <v>21</v>
      </c>
      <c r="D6" s="40"/>
      <c r="E6" s="40"/>
      <c r="F6" s="40"/>
      <c r="G6" s="40"/>
      <c r="H6" s="40">
        <v>537.00726</v>
      </c>
      <c r="I6" s="40" t="s">
        <v>22</v>
      </c>
      <c r="J6" s="73">
        <v>5278.35</v>
      </c>
      <c r="K6" s="73">
        <v>1017.37713490011</v>
      </c>
      <c r="L6" s="49"/>
    </row>
    <row r="7" s="24" customFormat="1" customHeight="1" spans="2:12">
      <c r="B7" s="37">
        <v>1</v>
      </c>
      <c r="C7" s="23" t="s">
        <v>23</v>
      </c>
      <c r="D7" s="42">
        <v>386.448058</v>
      </c>
      <c r="E7" s="43"/>
      <c r="F7" s="43"/>
      <c r="G7" s="44"/>
      <c r="H7" s="44">
        <v>386.448058</v>
      </c>
      <c r="I7" s="6" t="s">
        <v>22</v>
      </c>
      <c r="J7" s="72">
        <v>5278.35</v>
      </c>
      <c r="K7" s="21">
        <v>732.137993880663</v>
      </c>
      <c r="L7" s="49"/>
    </row>
    <row r="8" s="24" customFormat="1" customHeight="1" spans="2:12">
      <c r="B8" s="37">
        <v>2</v>
      </c>
      <c r="C8" s="23" t="s">
        <v>24</v>
      </c>
      <c r="D8" s="42">
        <v>67.799136</v>
      </c>
      <c r="E8" s="43"/>
      <c r="F8" s="43"/>
      <c r="G8" s="44"/>
      <c r="H8" s="44">
        <v>67.799136</v>
      </c>
      <c r="I8" s="6" t="s">
        <v>22</v>
      </c>
      <c r="J8" s="72">
        <v>5278.35</v>
      </c>
      <c r="K8" s="21">
        <v>128.44759441871</v>
      </c>
      <c r="L8" s="49"/>
    </row>
    <row r="9" s="24" customFormat="1" customHeight="1" spans="2:12">
      <c r="B9" s="37">
        <v>3</v>
      </c>
      <c r="C9" s="23" t="s">
        <v>25</v>
      </c>
      <c r="D9" s="42">
        <v>2.413729</v>
      </c>
      <c r="E9" s="43"/>
      <c r="F9" s="43"/>
      <c r="G9" s="44"/>
      <c r="H9" s="44">
        <v>2.413729</v>
      </c>
      <c r="I9" s="6" t="s">
        <v>22</v>
      </c>
      <c r="J9" s="72">
        <v>5278.35</v>
      </c>
      <c r="K9" s="21">
        <v>4.5728854661021</v>
      </c>
      <c r="L9" s="49"/>
    </row>
    <row r="10" s="24" customFormat="1" customHeight="1" spans="2:12">
      <c r="B10" s="37">
        <v>4</v>
      </c>
      <c r="C10" s="23" t="s">
        <v>26</v>
      </c>
      <c r="D10" s="42">
        <v>80.346337</v>
      </c>
      <c r="E10" s="43"/>
      <c r="F10" s="43"/>
      <c r="G10" s="44"/>
      <c r="H10" s="44">
        <v>80.346337</v>
      </c>
      <c r="I10" s="6" t="s">
        <v>22</v>
      </c>
      <c r="J10" s="72">
        <v>5278.35</v>
      </c>
      <c r="K10" s="21">
        <v>152.218661134635</v>
      </c>
      <c r="L10" s="49"/>
    </row>
    <row r="11" s="24" customFormat="1" customHeight="1" spans="2:12">
      <c r="B11" s="37" t="s">
        <v>27</v>
      </c>
      <c r="C11" s="41" t="s">
        <v>28</v>
      </c>
      <c r="D11" s="40"/>
      <c r="E11" s="40"/>
      <c r="F11" s="40"/>
      <c r="G11" s="40"/>
      <c r="H11" s="40">
        <v>1777.499338</v>
      </c>
      <c r="I11" s="40" t="s">
        <v>22</v>
      </c>
      <c r="J11" s="73">
        <v>1093.32</v>
      </c>
      <c r="K11" s="73">
        <v>16257.8141623678</v>
      </c>
      <c r="L11" s="49"/>
    </row>
    <row r="12" s="24" customFormat="1" customHeight="1" spans="2:12">
      <c r="B12" s="37">
        <v>1</v>
      </c>
      <c r="C12" s="5" t="s">
        <v>29</v>
      </c>
      <c r="D12" s="42">
        <v>260.934793</v>
      </c>
      <c r="E12" s="42"/>
      <c r="F12" s="42"/>
      <c r="G12" s="42"/>
      <c r="H12" s="44">
        <v>260.934793</v>
      </c>
      <c r="I12" s="6" t="s">
        <v>22</v>
      </c>
      <c r="J12" s="72">
        <v>257.32</v>
      </c>
      <c r="K12" s="21">
        <v>10140.4785092492</v>
      </c>
      <c r="L12" s="49"/>
    </row>
    <row r="13" s="24" customFormat="1" customHeight="1" spans="2:12">
      <c r="B13" s="37">
        <v>2</v>
      </c>
      <c r="C13" s="23" t="s">
        <v>30</v>
      </c>
      <c r="D13" s="42">
        <v>979.800079</v>
      </c>
      <c r="E13" s="43"/>
      <c r="F13" s="43"/>
      <c r="G13" s="43"/>
      <c r="H13" s="44">
        <v>979.800079</v>
      </c>
      <c r="I13" s="6" t="s">
        <v>22</v>
      </c>
      <c r="J13" s="72">
        <v>836</v>
      </c>
      <c r="K13" s="21">
        <v>11720.096638756</v>
      </c>
      <c r="L13" s="49"/>
    </row>
    <row r="14" s="24" customFormat="1" customHeight="1" spans="2:12">
      <c r="B14" s="37">
        <v>3</v>
      </c>
      <c r="C14" s="23" t="s">
        <v>31</v>
      </c>
      <c r="D14" s="42">
        <v>197.215743</v>
      </c>
      <c r="E14" s="43"/>
      <c r="F14" s="43"/>
      <c r="G14" s="44"/>
      <c r="H14" s="44">
        <v>197.215743</v>
      </c>
      <c r="I14" s="6" t="s">
        <v>22</v>
      </c>
      <c r="J14" s="72">
        <v>1093.32</v>
      </c>
      <c r="K14" s="21">
        <v>1803.82452529909</v>
      </c>
      <c r="L14" s="49"/>
    </row>
    <row r="15" s="24" customFormat="1" customHeight="1" spans="2:12">
      <c r="B15" s="37">
        <v>4</v>
      </c>
      <c r="C15" s="23" t="s">
        <v>8</v>
      </c>
      <c r="D15" s="42">
        <v>339.548723</v>
      </c>
      <c r="E15" s="43"/>
      <c r="F15" s="43"/>
      <c r="G15" s="44"/>
      <c r="H15" s="44">
        <v>339.548723</v>
      </c>
      <c r="I15" s="6" t="s">
        <v>22</v>
      </c>
      <c r="J15" s="72">
        <v>1093.32</v>
      </c>
      <c r="K15" s="21">
        <v>3105.66643800534</v>
      </c>
      <c r="L15" s="49"/>
    </row>
    <row r="16" s="25" customFormat="1" customHeight="1" spans="2:12">
      <c r="B16" s="37"/>
      <c r="C16" s="23"/>
      <c r="D16" s="42"/>
      <c r="E16" s="43"/>
      <c r="F16" s="43"/>
      <c r="G16" s="44"/>
      <c r="H16" s="44"/>
      <c r="I16" s="6"/>
      <c r="J16" s="72"/>
      <c r="K16" s="21"/>
      <c r="L16" s="49"/>
    </row>
    <row r="17" customHeight="1" spans="2:12">
      <c r="B17" s="37"/>
      <c r="C17" s="216" t="s">
        <v>32</v>
      </c>
      <c r="D17" s="40">
        <v>2314.506598</v>
      </c>
      <c r="E17" s="40">
        <v>0</v>
      </c>
      <c r="F17" s="40">
        <v>0</v>
      </c>
      <c r="G17" s="40">
        <v>0</v>
      </c>
      <c r="H17" s="40">
        <v>2314.506598</v>
      </c>
      <c r="I17" s="49"/>
      <c r="J17" s="72"/>
      <c r="K17" s="72"/>
      <c r="L17" s="49"/>
    </row>
    <row r="18" customHeight="1" spans="2:12">
      <c r="B18" s="37"/>
      <c r="C18" s="45" t="s">
        <v>33</v>
      </c>
      <c r="D18" s="46">
        <v>0</v>
      </c>
      <c r="E18" s="46">
        <v>0</v>
      </c>
      <c r="F18" s="46">
        <v>0</v>
      </c>
      <c r="G18" s="46">
        <v>1648.26383818275</v>
      </c>
      <c r="H18" s="40">
        <v>1648.26383818275</v>
      </c>
      <c r="I18" s="6"/>
      <c r="J18" s="21"/>
      <c r="K18" s="21"/>
      <c r="L18" s="6"/>
    </row>
    <row r="19" customHeight="1" spans="2:12">
      <c r="B19" s="37">
        <v>1</v>
      </c>
      <c r="C19" s="47" t="s">
        <v>34</v>
      </c>
      <c r="D19" s="48"/>
      <c r="E19" s="48"/>
      <c r="F19" s="48"/>
      <c r="G19" s="48"/>
      <c r="H19" s="49">
        <v>1123.09</v>
      </c>
      <c r="I19" s="47"/>
      <c r="J19" s="21"/>
      <c r="K19" s="21"/>
      <c r="L19" s="74"/>
    </row>
    <row r="20" customHeight="1" spans="2:12">
      <c r="B20" s="37">
        <v>-1</v>
      </c>
      <c r="C20" s="47" t="s">
        <v>35</v>
      </c>
      <c r="D20" s="6"/>
      <c r="E20" s="6"/>
      <c r="F20" s="6"/>
      <c r="G20" s="48">
        <v>1123.09</v>
      </c>
      <c r="H20" s="49">
        <v>1123.09</v>
      </c>
      <c r="I20" s="47" t="s">
        <v>36</v>
      </c>
      <c r="J20" s="21"/>
      <c r="K20" s="21"/>
      <c r="L20" s="47"/>
    </row>
    <row r="21" customHeight="1" spans="2:12">
      <c r="B21" s="37">
        <v>2</v>
      </c>
      <c r="C21" s="47" t="s">
        <v>37</v>
      </c>
      <c r="D21" s="48"/>
      <c r="E21" s="48"/>
      <c r="F21" s="48"/>
      <c r="G21" s="48">
        <v>48.9901151426071</v>
      </c>
      <c r="H21" s="49">
        <v>48.9901151426071</v>
      </c>
      <c r="I21" s="47" t="s">
        <v>38</v>
      </c>
      <c r="J21" s="21"/>
      <c r="K21" s="21"/>
      <c r="L21" s="6"/>
    </row>
    <row r="22" customHeight="1" spans="2:12">
      <c r="B22" s="37">
        <v>3</v>
      </c>
      <c r="C22" s="217" t="s">
        <v>39</v>
      </c>
      <c r="D22" s="48"/>
      <c r="E22" s="48"/>
      <c r="F22" s="48"/>
      <c r="G22" s="48">
        <v>61.648158352</v>
      </c>
      <c r="H22" s="49">
        <v>61.648158352</v>
      </c>
      <c r="I22" s="47" t="s">
        <v>40</v>
      </c>
      <c r="J22" s="21"/>
      <c r="K22" s="21"/>
      <c r="L22" s="47"/>
    </row>
    <row r="23" customHeight="1" spans="2:12">
      <c r="B23" s="37">
        <v>4</v>
      </c>
      <c r="C23" s="47" t="s">
        <v>41</v>
      </c>
      <c r="D23" s="6"/>
      <c r="E23" s="6"/>
      <c r="F23" s="6"/>
      <c r="G23" s="48"/>
      <c r="H23" s="49">
        <v>19.7031514644</v>
      </c>
      <c r="I23" s="47"/>
      <c r="J23" s="21"/>
      <c r="K23" s="21"/>
      <c r="L23" s="47"/>
    </row>
    <row r="24" customHeight="1" spans="2:12">
      <c r="B24" s="37">
        <v>-1</v>
      </c>
      <c r="C24" s="47" t="s">
        <v>42</v>
      </c>
      <c r="D24" s="6"/>
      <c r="E24" s="6"/>
      <c r="F24" s="6"/>
      <c r="G24" s="48">
        <v>10.058026392</v>
      </c>
      <c r="H24" s="49">
        <v>10.058026392</v>
      </c>
      <c r="I24" s="47" t="s">
        <v>43</v>
      </c>
      <c r="J24" s="21"/>
      <c r="K24" s="21"/>
      <c r="L24" s="47"/>
    </row>
    <row r="25" customHeight="1" spans="2:12">
      <c r="B25" s="37">
        <v>-2</v>
      </c>
      <c r="C25" s="47" t="s">
        <v>44</v>
      </c>
      <c r="D25" s="6"/>
      <c r="E25" s="6"/>
      <c r="F25" s="6"/>
      <c r="G25" s="48">
        <v>9.6451250724</v>
      </c>
      <c r="H25" s="49">
        <v>9.6451250724</v>
      </c>
      <c r="I25" s="47" t="s">
        <v>43</v>
      </c>
      <c r="J25" s="21"/>
      <c r="K25" s="21"/>
      <c r="L25" s="47"/>
    </row>
    <row r="26" hidden="1" customHeight="1" spans="2:12">
      <c r="B26" s="37">
        <v>-3</v>
      </c>
      <c r="C26" s="47" t="s">
        <v>45</v>
      </c>
      <c r="D26" s="6"/>
      <c r="E26" s="6"/>
      <c r="F26" s="6"/>
      <c r="G26" s="48">
        <v>0</v>
      </c>
      <c r="H26" s="49">
        <v>0</v>
      </c>
      <c r="I26" s="47" t="s">
        <v>43</v>
      </c>
      <c r="J26" s="21"/>
      <c r="K26" s="21"/>
      <c r="L26" s="47"/>
    </row>
    <row r="27" customHeight="1" spans="2:12">
      <c r="B27" s="37">
        <v>5</v>
      </c>
      <c r="C27" s="47" t="s">
        <v>46</v>
      </c>
      <c r="D27" s="48"/>
      <c r="E27" s="48"/>
      <c r="F27" s="48"/>
      <c r="G27" s="48"/>
      <c r="H27" s="49">
        <v>5.6</v>
      </c>
      <c r="I27" s="47"/>
      <c r="J27" s="21"/>
      <c r="K27" s="21"/>
      <c r="L27" s="47"/>
    </row>
    <row r="28" customHeight="1" spans="2:12">
      <c r="B28" s="37">
        <v>-1</v>
      </c>
      <c r="C28" s="47" t="s">
        <v>47</v>
      </c>
      <c r="D28" s="48"/>
      <c r="E28" s="48"/>
      <c r="F28" s="48"/>
      <c r="G28" s="48">
        <v>5.6</v>
      </c>
      <c r="H28" s="49">
        <v>5.6</v>
      </c>
      <c r="I28" s="47" t="s">
        <v>48</v>
      </c>
      <c r="J28" s="21"/>
      <c r="K28" s="21"/>
      <c r="L28" s="47"/>
    </row>
    <row r="29" customHeight="1" spans="2:12">
      <c r="B29" s="37">
        <v>6</v>
      </c>
      <c r="C29" s="47" t="s">
        <v>49</v>
      </c>
      <c r="D29" s="6"/>
      <c r="E29" s="6"/>
      <c r="F29" s="6"/>
      <c r="G29" s="48">
        <v>6.54587867334831</v>
      </c>
      <c r="H29" s="49">
        <v>6.54587867334831</v>
      </c>
      <c r="I29" s="47" t="s">
        <v>50</v>
      </c>
      <c r="J29" s="21"/>
      <c r="K29" s="21"/>
      <c r="L29" s="47"/>
    </row>
    <row r="30" customHeight="1" spans="2:12">
      <c r="B30" s="37">
        <v>7</v>
      </c>
      <c r="C30" s="47" t="s">
        <v>51</v>
      </c>
      <c r="D30" s="6"/>
      <c r="E30" s="6"/>
      <c r="F30" s="6"/>
      <c r="G30" s="48"/>
      <c r="H30" s="49">
        <v>15.2306056567348</v>
      </c>
      <c r="I30" s="47"/>
      <c r="J30" s="21"/>
      <c r="K30" s="21"/>
      <c r="L30" s="47"/>
    </row>
    <row r="31" s="26" customFormat="1" customHeight="1" spans="2:12">
      <c r="B31" s="37">
        <v>-1</v>
      </c>
      <c r="C31" s="47" t="s">
        <v>52</v>
      </c>
      <c r="D31" s="6"/>
      <c r="E31" s="6"/>
      <c r="F31" s="6"/>
      <c r="G31" s="48">
        <v>6.20297695144152</v>
      </c>
      <c r="H31" s="49">
        <v>6.20297695144152</v>
      </c>
      <c r="I31" s="47" t="s">
        <v>53</v>
      </c>
      <c r="J31" s="21"/>
      <c r="K31" s="21"/>
      <c r="L31" s="47"/>
    </row>
    <row r="32" customHeight="1" spans="2:12">
      <c r="B32" s="37">
        <v>-2</v>
      </c>
      <c r="C32" s="47" t="s">
        <v>54</v>
      </c>
      <c r="D32" s="6"/>
      <c r="E32" s="6"/>
      <c r="F32" s="6"/>
      <c r="G32" s="48">
        <v>6.20297695144152</v>
      </c>
      <c r="H32" s="49">
        <v>6.20297695144152</v>
      </c>
      <c r="I32" s="47" t="s">
        <v>53</v>
      </c>
      <c r="J32" s="21"/>
      <c r="K32" s="21"/>
      <c r="L32" s="47"/>
    </row>
    <row r="33" customHeight="1" spans="2:12">
      <c r="B33" s="37">
        <v>-3</v>
      </c>
      <c r="C33" s="50" t="s">
        <v>55</v>
      </c>
      <c r="D33" s="6"/>
      <c r="E33" s="6"/>
      <c r="F33" s="6"/>
      <c r="G33" s="48">
        <v>0.75699277003797</v>
      </c>
      <c r="H33" s="49">
        <v>0.75699277003797</v>
      </c>
      <c r="I33" s="47" t="s">
        <v>53</v>
      </c>
      <c r="J33" s="21"/>
      <c r="K33" s="21"/>
      <c r="L33" s="47"/>
    </row>
    <row r="34" customHeight="1" spans="2:12">
      <c r="B34" s="37">
        <v>-4</v>
      </c>
      <c r="C34" s="47" t="s">
        <v>56</v>
      </c>
      <c r="D34" s="6"/>
      <c r="E34" s="6"/>
      <c r="F34" s="6"/>
      <c r="G34" s="48">
        <v>2.06765898381384</v>
      </c>
      <c r="H34" s="49">
        <v>2.06765898381384</v>
      </c>
      <c r="I34" s="47" t="s">
        <v>53</v>
      </c>
      <c r="J34" s="21"/>
      <c r="K34" s="21"/>
      <c r="L34" s="47"/>
    </row>
    <row r="35" customHeight="1" spans="2:12">
      <c r="B35" s="37">
        <v>8</v>
      </c>
      <c r="C35" s="51" t="s">
        <v>57</v>
      </c>
      <c r="D35" s="52"/>
      <c r="E35" s="52"/>
      <c r="F35" s="52"/>
      <c r="G35" s="53">
        <v>0.76</v>
      </c>
      <c r="H35" s="54">
        <v>0.76</v>
      </c>
      <c r="I35" s="89" t="s">
        <v>58</v>
      </c>
      <c r="J35" s="90"/>
      <c r="K35" s="75"/>
      <c r="L35" s="76"/>
    </row>
    <row r="36" customHeight="1" spans="2:12">
      <c r="B36" s="37">
        <v>9</v>
      </c>
      <c r="C36" s="47" t="s">
        <v>59</v>
      </c>
      <c r="D36" s="6"/>
      <c r="E36" s="6"/>
      <c r="F36" s="6"/>
      <c r="G36" s="48">
        <v>13.38511143223</v>
      </c>
      <c r="H36" s="49">
        <v>13.38511143223</v>
      </c>
      <c r="I36" s="91" t="s">
        <v>60</v>
      </c>
      <c r="J36" s="78"/>
      <c r="K36" s="21"/>
      <c r="L36" s="47"/>
    </row>
    <row r="37" customHeight="1" spans="2:12">
      <c r="B37" s="37">
        <v>10</v>
      </c>
      <c r="C37" s="12" t="s">
        <v>61</v>
      </c>
      <c r="D37" s="6"/>
      <c r="E37" s="6"/>
      <c r="F37" s="6"/>
      <c r="G37" s="48"/>
      <c r="H37" s="49">
        <v>104.666530415</v>
      </c>
      <c r="I37" s="77"/>
      <c r="J37" s="78"/>
      <c r="K37" s="21"/>
      <c r="L37" s="47"/>
    </row>
    <row r="38" customHeight="1" spans="2:12">
      <c r="B38" s="37">
        <v>-1</v>
      </c>
      <c r="C38" s="12" t="s">
        <v>62</v>
      </c>
      <c r="D38" s="48"/>
      <c r="E38" s="48"/>
      <c r="F38" s="48"/>
      <c r="G38" s="55">
        <v>5.786266495</v>
      </c>
      <c r="H38" s="49">
        <v>5.786266495</v>
      </c>
      <c r="I38" s="47" t="s">
        <v>63</v>
      </c>
      <c r="J38" s="21"/>
      <c r="K38" s="21"/>
      <c r="L38" s="47"/>
    </row>
    <row r="39" customHeight="1" spans="2:12">
      <c r="B39" s="37">
        <v>-2</v>
      </c>
      <c r="C39" s="12" t="s">
        <v>64</v>
      </c>
      <c r="D39" s="48"/>
      <c r="E39" s="48"/>
      <c r="F39" s="48"/>
      <c r="G39" s="55">
        <v>17.358799485</v>
      </c>
      <c r="H39" s="49">
        <v>17.358799485</v>
      </c>
      <c r="I39" s="47" t="s">
        <v>65</v>
      </c>
      <c r="J39" s="21"/>
      <c r="K39" s="21"/>
      <c r="L39" s="47"/>
    </row>
    <row r="40" s="27" customFormat="1" ht="23.25" customHeight="1" spans="2:12">
      <c r="B40" s="37">
        <v>-3</v>
      </c>
      <c r="C40" s="12" t="s">
        <v>66</v>
      </c>
      <c r="D40" s="6"/>
      <c r="E40" s="6"/>
      <c r="F40" s="6"/>
      <c r="G40" s="55">
        <v>81.521464435</v>
      </c>
      <c r="H40" s="49">
        <v>81.521464435</v>
      </c>
      <c r="I40" s="47" t="s">
        <v>67</v>
      </c>
      <c r="J40" s="21"/>
      <c r="K40" s="21"/>
      <c r="L40" s="47"/>
    </row>
    <row r="41" s="28" customFormat="1" customHeight="1" spans="2:12">
      <c r="B41" s="37">
        <v>11</v>
      </c>
      <c r="C41" s="47" t="s">
        <v>68</v>
      </c>
      <c r="D41" s="6"/>
      <c r="E41" s="6"/>
      <c r="F41" s="6"/>
      <c r="G41" s="48">
        <v>5.298895188275</v>
      </c>
      <c r="H41" s="49">
        <v>5.298895188275</v>
      </c>
      <c r="I41" s="47" t="s">
        <v>69</v>
      </c>
      <c r="J41" s="21"/>
      <c r="K41" s="21"/>
      <c r="L41" s="47"/>
    </row>
    <row r="42" s="28" customFormat="1" customHeight="1" spans="2:12">
      <c r="B42" s="37">
        <v>12</v>
      </c>
      <c r="C42" s="47" t="s">
        <v>70</v>
      </c>
      <c r="D42" s="48"/>
      <c r="E42" s="48"/>
      <c r="F42" s="48"/>
      <c r="G42" s="48">
        <v>23.14506598</v>
      </c>
      <c r="H42" s="49">
        <v>23.14506598</v>
      </c>
      <c r="I42" s="47" t="s">
        <v>71</v>
      </c>
      <c r="J42" s="21"/>
      <c r="K42" s="21"/>
      <c r="L42" s="47"/>
    </row>
    <row r="43" s="28" customFormat="1" customHeight="1" spans="2:12">
      <c r="B43" s="37">
        <v>13</v>
      </c>
      <c r="C43" s="47" t="s">
        <v>72</v>
      </c>
      <c r="D43" s="48"/>
      <c r="E43" s="48"/>
      <c r="F43" s="48"/>
      <c r="G43" s="48">
        <v>10.415279691</v>
      </c>
      <c r="H43" s="49">
        <v>10.415279691</v>
      </c>
      <c r="I43" s="47" t="s">
        <v>73</v>
      </c>
      <c r="J43" s="21"/>
      <c r="K43" s="21"/>
      <c r="L43" s="47"/>
    </row>
    <row r="44" s="28" customFormat="1" customHeight="1" spans="2:12">
      <c r="B44" s="37">
        <v>14</v>
      </c>
      <c r="C44" s="47" t="s">
        <v>74</v>
      </c>
      <c r="D44" s="48"/>
      <c r="E44" s="48"/>
      <c r="F44" s="48"/>
      <c r="G44" s="48">
        <v>16.201546186</v>
      </c>
      <c r="H44" s="49">
        <v>16.201546186</v>
      </c>
      <c r="I44" s="47" t="s">
        <v>75</v>
      </c>
      <c r="J44" s="21"/>
      <c r="K44" s="21"/>
      <c r="L44" s="47"/>
    </row>
    <row r="45" s="28" customFormat="1" customHeight="1" spans="2:12">
      <c r="B45" s="37">
        <v>15</v>
      </c>
      <c r="C45" s="87" t="s">
        <v>76</v>
      </c>
      <c r="D45" s="48"/>
      <c r="E45" s="48"/>
      <c r="F45" s="48"/>
      <c r="G45" s="48">
        <v>5.8215</v>
      </c>
      <c r="H45" s="49">
        <v>5.8215</v>
      </c>
      <c r="I45" s="47" t="s">
        <v>77</v>
      </c>
      <c r="J45" s="21"/>
      <c r="K45" s="21"/>
      <c r="L45" s="47"/>
    </row>
    <row r="46" s="28" customFormat="1" customHeight="1" spans="2:12">
      <c r="B46" s="37">
        <v>16</v>
      </c>
      <c r="C46" s="87" t="s">
        <v>78</v>
      </c>
      <c r="D46" s="48"/>
      <c r="E46" s="48"/>
      <c r="F46" s="48"/>
      <c r="G46" s="48">
        <v>7.762</v>
      </c>
      <c r="H46" s="49">
        <v>7.762</v>
      </c>
      <c r="I46" s="47" t="s">
        <v>77</v>
      </c>
      <c r="J46" s="21"/>
      <c r="K46" s="21"/>
      <c r="L46" s="47"/>
    </row>
    <row r="47" s="29" customFormat="1" customHeight="1" spans="2:12">
      <c r="B47" s="37">
        <v>17</v>
      </c>
      <c r="C47" s="57" t="s">
        <v>79</v>
      </c>
      <c r="D47" s="59"/>
      <c r="E47" s="59"/>
      <c r="F47" s="59"/>
      <c r="G47" s="88">
        <v>10</v>
      </c>
      <c r="H47" s="58">
        <v>10</v>
      </c>
      <c r="I47" s="57" t="s">
        <v>36</v>
      </c>
      <c r="J47" s="79"/>
      <c r="K47" s="80"/>
      <c r="L47" s="81"/>
    </row>
    <row r="48" s="29" customFormat="1" customHeight="1" spans="2:12">
      <c r="B48" s="37">
        <v>18</v>
      </c>
      <c r="C48" s="57" t="s">
        <v>80</v>
      </c>
      <c r="D48" s="59"/>
      <c r="E48" s="59"/>
      <c r="F48" s="59"/>
      <c r="G48" s="88">
        <v>10</v>
      </c>
      <c r="H48" s="58">
        <v>10</v>
      </c>
      <c r="I48" s="57" t="s">
        <v>36</v>
      </c>
      <c r="J48" s="79"/>
      <c r="K48" s="80"/>
      <c r="L48" s="81"/>
    </row>
    <row r="49" s="29" customFormat="1" customHeight="1" spans="2:12">
      <c r="B49" s="37">
        <v>19</v>
      </c>
      <c r="C49" s="60" t="s">
        <v>81</v>
      </c>
      <c r="D49" s="59"/>
      <c r="E49" s="59"/>
      <c r="F49" s="59"/>
      <c r="G49" s="88">
        <v>20</v>
      </c>
      <c r="H49" s="58">
        <v>20</v>
      </c>
      <c r="I49" s="57" t="s">
        <v>36</v>
      </c>
      <c r="J49" s="79"/>
      <c r="K49" s="80"/>
      <c r="L49" s="81"/>
    </row>
    <row r="50" s="29" customFormat="1" customHeight="1" spans="2:12">
      <c r="B50" s="37">
        <v>20</v>
      </c>
      <c r="C50" s="60" t="s">
        <v>82</v>
      </c>
      <c r="D50" s="59"/>
      <c r="E50" s="59"/>
      <c r="F50" s="59"/>
      <c r="G50" s="88">
        <v>10</v>
      </c>
      <c r="H50" s="58">
        <v>10</v>
      </c>
      <c r="I50" s="57" t="s">
        <v>36</v>
      </c>
      <c r="J50" s="79"/>
      <c r="K50" s="80"/>
      <c r="L50" s="81"/>
    </row>
    <row r="51" s="29" customFormat="1" customHeight="1" spans="2:12">
      <c r="B51" s="37">
        <v>21</v>
      </c>
      <c r="C51" s="60" t="s">
        <v>83</v>
      </c>
      <c r="D51" s="59"/>
      <c r="E51" s="59"/>
      <c r="F51" s="59"/>
      <c r="G51" s="88">
        <v>30</v>
      </c>
      <c r="H51" s="58">
        <v>30</v>
      </c>
      <c r="I51" s="57" t="s">
        <v>36</v>
      </c>
      <c r="J51" s="79"/>
      <c r="K51" s="80"/>
      <c r="L51" s="81"/>
    </row>
    <row r="52" s="29" customFormat="1" customHeight="1" spans="2:12">
      <c r="B52" s="37">
        <v>22</v>
      </c>
      <c r="C52" s="61" t="s">
        <v>84</v>
      </c>
      <c r="D52" s="62"/>
      <c r="E52" s="62"/>
      <c r="F52" s="62"/>
      <c r="G52" s="88">
        <v>50</v>
      </c>
      <c r="H52" s="58">
        <v>50</v>
      </c>
      <c r="I52" s="57" t="s">
        <v>36</v>
      </c>
      <c r="J52" s="82"/>
      <c r="K52" s="83"/>
      <c r="L52" s="81"/>
    </row>
    <row r="53" s="29" customFormat="1" customHeight="1" spans="2:12">
      <c r="B53" s="37">
        <v>23</v>
      </c>
      <c r="C53" s="63" t="s">
        <v>85</v>
      </c>
      <c r="D53" s="64"/>
      <c r="E53" s="64"/>
      <c r="F53" s="64"/>
      <c r="G53" s="88">
        <v>15</v>
      </c>
      <c r="H53" s="58">
        <v>15</v>
      </c>
      <c r="I53" s="57" t="s">
        <v>36</v>
      </c>
      <c r="J53" s="79"/>
      <c r="K53" s="80"/>
      <c r="L53" s="81"/>
    </row>
    <row r="54" s="29" customFormat="1" customHeight="1" spans="2:12">
      <c r="B54" s="37">
        <v>24</v>
      </c>
      <c r="C54" s="63" t="s">
        <v>86</v>
      </c>
      <c r="D54" s="64"/>
      <c r="E54" s="64"/>
      <c r="F54" s="64"/>
      <c r="G54" s="88">
        <v>10</v>
      </c>
      <c r="H54" s="58">
        <v>10</v>
      </c>
      <c r="I54" s="57" t="s">
        <v>36</v>
      </c>
      <c r="J54" s="79"/>
      <c r="K54" s="80"/>
      <c r="L54" s="81"/>
    </row>
    <row r="55" s="29" customFormat="1" customHeight="1" spans="2:12">
      <c r="B55" s="37">
        <v>25</v>
      </c>
      <c r="C55" s="63" t="s">
        <v>87</v>
      </c>
      <c r="D55" s="64"/>
      <c r="E55" s="64"/>
      <c r="F55" s="64"/>
      <c r="G55" s="88">
        <v>20</v>
      </c>
      <c r="H55" s="58">
        <v>20</v>
      </c>
      <c r="I55" s="57" t="s">
        <v>36</v>
      </c>
      <c r="J55" s="79"/>
      <c r="K55" s="80"/>
      <c r="L55" s="81"/>
    </row>
    <row r="56" s="29" customFormat="1" customHeight="1" spans="2:12">
      <c r="B56" s="37">
        <v>26</v>
      </c>
      <c r="C56" s="63" t="s">
        <v>88</v>
      </c>
      <c r="D56" s="64"/>
      <c r="E56" s="64"/>
      <c r="F56" s="64"/>
      <c r="G56" s="88">
        <v>5</v>
      </c>
      <c r="H56" s="58">
        <v>5</v>
      </c>
      <c r="I56" s="57" t="s">
        <v>36</v>
      </c>
      <c r="J56" s="79"/>
      <c r="K56" s="80"/>
      <c r="L56" s="81"/>
    </row>
    <row r="57" customHeight="1" spans="2:12">
      <c r="B57" s="37"/>
      <c r="C57" s="47"/>
      <c r="D57" s="6"/>
      <c r="E57" s="6"/>
      <c r="F57" s="6"/>
      <c r="G57" s="48"/>
      <c r="H57" s="48"/>
      <c r="I57" s="6"/>
      <c r="J57" s="21"/>
      <c r="K57" s="21"/>
      <c r="L57" s="6"/>
    </row>
    <row r="58" customHeight="1" spans="2:12">
      <c r="B58" s="37"/>
      <c r="C58" s="216" t="s">
        <v>89</v>
      </c>
      <c r="D58" s="40"/>
      <c r="E58" s="40"/>
      <c r="F58" s="40"/>
      <c r="G58" s="40">
        <v>1648.26383818275</v>
      </c>
      <c r="H58" s="40">
        <v>1648.26383818275</v>
      </c>
      <c r="I58" s="49"/>
      <c r="J58" s="72"/>
      <c r="K58" s="72"/>
      <c r="L58" s="49"/>
    </row>
    <row r="59" customHeight="1" spans="2:12">
      <c r="B59" s="37"/>
      <c r="C59" s="218" t="s">
        <v>90</v>
      </c>
      <c r="D59" s="46">
        <v>2314.506598</v>
      </c>
      <c r="E59" s="46">
        <v>0</v>
      </c>
      <c r="F59" s="46">
        <v>0</v>
      </c>
      <c r="G59" s="46">
        <v>1648.26383818275</v>
      </c>
      <c r="H59" s="40">
        <v>3962.77043618275</v>
      </c>
      <c r="I59" s="6"/>
      <c r="J59" s="21"/>
      <c r="K59" s="21"/>
      <c r="L59" s="6"/>
    </row>
    <row r="60" customHeight="1" spans="2:12">
      <c r="B60" s="37"/>
      <c r="C60" s="45" t="s">
        <v>91</v>
      </c>
      <c r="D60" s="6"/>
      <c r="E60" s="6"/>
      <c r="F60" s="6"/>
      <c r="G60" s="46">
        <v>141.984021808242</v>
      </c>
      <c r="H60" s="40">
        <v>141.984021808242</v>
      </c>
      <c r="I60" s="6"/>
      <c r="J60" s="21"/>
      <c r="K60" s="21"/>
      <c r="L60" s="6"/>
    </row>
    <row r="61" customHeight="1" spans="2:12">
      <c r="B61" s="37"/>
      <c r="C61" s="47" t="s">
        <v>194</v>
      </c>
      <c r="D61" s="6"/>
      <c r="E61" s="6"/>
      <c r="F61" s="6"/>
      <c r="G61" s="65">
        <v>141.984021809137</v>
      </c>
      <c r="H61" s="48">
        <v>141.984021809137</v>
      </c>
      <c r="I61" s="6"/>
      <c r="J61" s="21"/>
      <c r="K61" s="21"/>
      <c r="L61" s="6"/>
    </row>
    <row r="62" customHeight="1" spans="2:12">
      <c r="B62" s="37"/>
      <c r="C62" s="45"/>
      <c r="D62" s="6"/>
      <c r="E62" s="6"/>
      <c r="F62" s="6"/>
      <c r="G62" s="6"/>
      <c r="H62" s="6"/>
      <c r="I62" s="6"/>
      <c r="J62" s="21"/>
      <c r="K62" s="21"/>
      <c r="L62" s="6"/>
    </row>
    <row r="63" customHeight="1" spans="2:12">
      <c r="B63" s="37"/>
      <c r="C63" s="218" t="s">
        <v>92</v>
      </c>
      <c r="D63" s="46">
        <v>2314.506598</v>
      </c>
      <c r="E63" s="46">
        <v>0</v>
      </c>
      <c r="F63" s="46">
        <v>0</v>
      </c>
      <c r="G63" s="46">
        <v>1790.24785999099</v>
      </c>
      <c r="H63" s="40">
        <v>4104.75445799099</v>
      </c>
      <c r="I63" s="6"/>
      <c r="J63" s="21"/>
      <c r="K63" s="21"/>
      <c r="L63" s="6"/>
    </row>
    <row r="64" customHeight="1" spans="2:12">
      <c r="B64" s="37"/>
      <c r="C64" s="45"/>
      <c r="D64" s="6"/>
      <c r="E64" s="6"/>
      <c r="F64" s="6"/>
      <c r="G64" s="6"/>
      <c r="H64" s="6"/>
      <c r="I64" s="6"/>
      <c r="J64" s="21"/>
      <c r="K64" s="21"/>
      <c r="L64" s="6"/>
    </row>
    <row r="65" customHeight="1" spans="2:12">
      <c r="B65" s="86"/>
      <c r="C65" s="45" t="s">
        <v>93</v>
      </c>
      <c r="D65" s="46">
        <v>2314.506598</v>
      </c>
      <c r="E65" s="46">
        <v>0</v>
      </c>
      <c r="F65" s="46">
        <v>0</v>
      </c>
      <c r="G65" s="46">
        <v>1790.24785999099</v>
      </c>
      <c r="H65" s="40">
        <v>4104.75445799099</v>
      </c>
      <c r="I65" s="6"/>
      <c r="J65" s="21"/>
      <c r="K65" s="21"/>
      <c r="L65" s="6"/>
    </row>
    <row r="66" customHeight="1" spans="2:12">
      <c r="B66" s="37"/>
      <c r="C66" s="47"/>
      <c r="D66" s="6"/>
      <c r="E66" s="6"/>
      <c r="F66" s="6"/>
      <c r="G66" s="6"/>
      <c r="H66" s="48"/>
      <c r="I66" s="6"/>
      <c r="J66" s="21"/>
      <c r="K66" s="21"/>
      <c r="L66" s="6"/>
    </row>
  </sheetData>
  <autoFilter ref="C3:C66">
    <extLst/>
  </autoFilter>
  <mergeCells count="7">
    <mergeCell ref="B1:L1"/>
    <mergeCell ref="D3:H3"/>
    <mergeCell ref="I3:K3"/>
    <mergeCell ref="I35:J35"/>
    <mergeCell ref="B3:B4"/>
    <mergeCell ref="C3:C4"/>
    <mergeCell ref="L3:L4"/>
  </mergeCells>
  <conditionalFormatting sqref="H5">
    <cfRule type="cellIs" dxfId="0" priority="6" operator="notEqual">
      <formula>SUM($D$5:$G$5)</formula>
    </cfRule>
  </conditionalFormatting>
  <printOptions horizontalCentered="1"/>
  <pageMargins left="0.707638888888889" right="0.590277777777778" top="0.984027777777778" bottom="0.786805555555556" header="0.313888888888889" footer="0.313888888888889"/>
  <pageSetup paperSize="9" orientation="landscape" blackAndWhite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L66"/>
  <sheetViews>
    <sheetView showGridLines="0" showZeros="0" topLeftCell="B1" workbookViewId="0">
      <pane xSplit="1" ySplit="5" topLeftCell="C37" activePane="bottomRight" state="frozen"/>
      <selection/>
      <selection pane="topRight"/>
      <selection pane="bottomLeft"/>
      <selection pane="bottomRight" activeCell="G49" sqref="G49"/>
    </sheetView>
  </sheetViews>
  <sheetFormatPr defaultColWidth="9" defaultRowHeight="18" customHeight="1"/>
  <cols>
    <col min="1" max="1" width="9" style="30"/>
    <col min="2" max="2" width="5.50833333333333" style="31" customWidth="1"/>
    <col min="3" max="3" width="32.5083333333333" style="30" customWidth="1"/>
    <col min="4" max="4" width="10.1333333333333" style="30" customWidth="1"/>
    <col min="5" max="5" width="8.50833333333333" style="30" customWidth="1"/>
    <col min="6" max="6" width="9.13333333333333" style="30" customWidth="1"/>
    <col min="7" max="8" width="9.88333333333333" style="30" customWidth="1"/>
    <col min="9" max="9" width="7.38333333333333" style="30" customWidth="1"/>
    <col min="10" max="10" width="8.88333333333333" style="32" customWidth="1"/>
    <col min="11" max="11" width="10.3833333333333" style="32" customWidth="1"/>
    <col min="12" max="12" width="18.6333333333333" style="30" customWidth="1"/>
    <col min="13" max="16384" width="9" style="30"/>
  </cols>
  <sheetData>
    <row r="1" s="24" customFormat="1" ht="27" customHeight="1" spans="2:12">
      <c r="B1" s="33" t="s">
        <v>0</v>
      </c>
      <c r="C1" s="34"/>
      <c r="D1" s="34"/>
      <c r="E1" s="34"/>
      <c r="F1" s="34"/>
      <c r="G1" s="34"/>
      <c r="H1" s="34"/>
      <c r="I1" s="66"/>
      <c r="J1" s="67"/>
      <c r="K1" s="68"/>
      <c r="L1" s="69"/>
    </row>
    <row r="2" s="24" customFormat="1" customHeight="1" spans="2:11">
      <c r="B2" s="215" t="s">
        <v>1</v>
      </c>
      <c r="C2" s="36"/>
      <c r="D2" s="36"/>
      <c r="E2" s="36"/>
      <c r="F2" s="36"/>
      <c r="G2" s="36"/>
      <c r="H2" s="36"/>
      <c r="I2" s="36"/>
      <c r="J2" s="70"/>
      <c r="K2" s="70"/>
    </row>
    <row r="3" s="24" customFormat="1" ht="20.25" customHeight="1" spans="2:12">
      <c r="B3" s="37" t="s">
        <v>2</v>
      </c>
      <c r="C3" s="6" t="s">
        <v>3</v>
      </c>
      <c r="D3" s="6" t="s">
        <v>4</v>
      </c>
      <c r="E3" s="6"/>
      <c r="F3" s="6"/>
      <c r="G3" s="6"/>
      <c r="H3" s="6"/>
      <c r="I3" s="6" t="s">
        <v>5</v>
      </c>
      <c r="J3" s="21"/>
      <c r="K3" s="21"/>
      <c r="L3" s="6" t="s">
        <v>6</v>
      </c>
    </row>
    <row r="4" s="24" customFormat="1" ht="25.5" customHeight="1" spans="2:12">
      <c r="B4" s="37"/>
      <c r="C4" s="6"/>
      <c r="D4" s="38" t="s">
        <v>8</v>
      </c>
      <c r="E4" s="38" t="s">
        <v>9</v>
      </c>
      <c r="F4" s="38" t="s">
        <v>10</v>
      </c>
      <c r="G4" s="38" t="s">
        <v>11</v>
      </c>
      <c r="H4" s="38" t="s">
        <v>12</v>
      </c>
      <c r="I4" s="38" t="s">
        <v>13</v>
      </c>
      <c r="J4" s="71" t="s">
        <v>14</v>
      </c>
      <c r="K4" s="71" t="s">
        <v>15</v>
      </c>
      <c r="L4" s="6"/>
    </row>
    <row r="5" s="24" customFormat="1" customHeight="1" spans="2:12">
      <c r="B5" s="37"/>
      <c r="C5" s="39" t="s">
        <v>19</v>
      </c>
      <c r="D5" s="40">
        <v>2256.186466</v>
      </c>
      <c r="E5" s="40">
        <v>0</v>
      </c>
      <c r="F5" s="40">
        <v>0</v>
      </c>
      <c r="G5" s="40">
        <v>0</v>
      </c>
      <c r="H5" s="40">
        <v>2256.186466</v>
      </c>
      <c r="I5" s="49"/>
      <c r="J5" s="72"/>
      <c r="K5" s="72"/>
      <c r="L5" s="49"/>
    </row>
    <row r="6" s="24" customFormat="1" customHeight="1" spans="2:12">
      <c r="B6" s="37" t="s">
        <v>20</v>
      </c>
      <c r="C6" s="41" t="s">
        <v>21</v>
      </c>
      <c r="D6" s="40"/>
      <c r="E6" s="40"/>
      <c r="F6" s="40"/>
      <c r="G6" s="40"/>
      <c r="H6" s="40">
        <v>471.202431</v>
      </c>
      <c r="I6" s="40" t="s">
        <v>22</v>
      </c>
      <c r="J6" s="73">
        <v>5278.35</v>
      </c>
      <c r="K6" s="73">
        <v>892.707817783967</v>
      </c>
      <c r="L6" s="49"/>
    </row>
    <row r="7" s="24" customFormat="1" customHeight="1" spans="2:12">
      <c r="B7" s="37">
        <v>1</v>
      </c>
      <c r="C7" s="23" t="s">
        <v>23</v>
      </c>
      <c r="D7" s="42">
        <v>367.346325</v>
      </c>
      <c r="E7" s="43"/>
      <c r="F7" s="43"/>
      <c r="G7" s="44"/>
      <c r="H7" s="44">
        <v>367.346325</v>
      </c>
      <c r="I7" s="6" t="s">
        <v>22</v>
      </c>
      <c r="J7" s="72">
        <v>5278.35</v>
      </c>
      <c r="K7" s="21">
        <v>695.949160248941</v>
      </c>
      <c r="L7" s="49"/>
    </row>
    <row r="8" s="24" customFormat="1" customHeight="1" spans="2:12">
      <c r="B8" s="37">
        <v>2</v>
      </c>
      <c r="C8" s="23" t="s">
        <v>24</v>
      </c>
      <c r="D8" s="42">
        <v>21.096131</v>
      </c>
      <c r="E8" s="43"/>
      <c r="F8" s="43"/>
      <c r="G8" s="44"/>
      <c r="H8" s="44">
        <v>21.096131</v>
      </c>
      <c r="I8" s="6" t="s">
        <v>22</v>
      </c>
      <c r="J8" s="72">
        <v>5278.35</v>
      </c>
      <c r="K8" s="21">
        <v>39.9672833366488</v>
      </c>
      <c r="L8" s="49"/>
    </row>
    <row r="9" s="24" customFormat="1" customHeight="1" spans="2:12">
      <c r="B9" s="37">
        <v>3</v>
      </c>
      <c r="C9" s="23" t="s">
        <v>25</v>
      </c>
      <c r="D9" s="42">
        <v>2.418894</v>
      </c>
      <c r="E9" s="43"/>
      <c r="F9" s="43"/>
      <c r="G9" s="44"/>
      <c r="H9" s="44">
        <v>2.418894</v>
      </c>
      <c r="I9" s="6" t="s">
        <v>22</v>
      </c>
      <c r="J9" s="72">
        <v>5278.35</v>
      </c>
      <c r="K9" s="21">
        <v>4.58267072096394</v>
      </c>
      <c r="L9" s="49"/>
    </row>
    <row r="10" s="24" customFormat="1" customHeight="1" spans="2:12">
      <c r="B10" s="37">
        <v>4</v>
      </c>
      <c r="C10" s="23" t="s">
        <v>26</v>
      </c>
      <c r="D10" s="42">
        <v>80.341081</v>
      </c>
      <c r="E10" s="43"/>
      <c r="F10" s="43"/>
      <c r="G10" s="44"/>
      <c r="H10" s="44">
        <v>80.341081</v>
      </c>
      <c r="I10" s="6" t="s">
        <v>22</v>
      </c>
      <c r="J10" s="72">
        <v>5278.35</v>
      </c>
      <c r="K10" s="21">
        <v>152.208703477412</v>
      </c>
      <c r="L10" s="49"/>
    </row>
    <row r="11" s="24" customFormat="1" customHeight="1" spans="2:12">
      <c r="B11" s="37" t="s">
        <v>27</v>
      </c>
      <c r="C11" s="41" t="s">
        <v>28</v>
      </c>
      <c r="D11" s="40"/>
      <c r="E11" s="40"/>
      <c r="F11" s="40"/>
      <c r="G11" s="40"/>
      <c r="H11" s="40">
        <v>1784.984035</v>
      </c>
      <c r="I11" s="40" t="s">
        <v>22</v>
      </c>
      <c r="J11" s="73">
        <v>1093.32</v>
      </c>
      <c r="K11" s="73">
        <v>16326.2725917389</v>
      </c>
      <c r="L11" s="49"/>
    </row>
    <row r="12" s="24" customFormat="1" customHeight="1" spans="2:12">
      <c r="B12" s="37">
        <v>1</v>
      </c>
      <c r="C12" s="5" t="s">
        <v>29</v>
      </c>
      <c r="D12" s="42">
        <v>247.386601</v>
      </c>
      <c r="E12" s="42"/>
      <c r="F12" s="42"/>
      <c r="G12" s="42"/>
      <c r="H12" s="44">
        <v>247.386601</v>
      </c>
      <c r="I12" s="6" t="s">
        <v>22</v>
      </c>
      <c r="J12" s="72">
        <v>257.32</v>
      </c>
      <c r="K12" s="21">
        <v>9613.96708378672</v>
      </c>
      <c r="L12" s="49"/>
    </row>
    <row r="13" s="24" customFormat="1" customHeight="1" spans="2:12">
      <c r="B13" s="37">
        <v>2</v>
      </c>
      <c r="C13" s="23" t="s">
        <v>30</v>
      </c>
      <c r="D13" s="42">
        <v>938.455697</v>
      </c>
      <c r="E13" s="43"/>
      <c r="F13" s="43"/>
      <c r="G13" s="43"/>
      <c r="H13" s="44">
        <v>938.455697</v>
      </c>
      <c r="I13" s="6" t="s">
        <v>22</v>
      </c>
      <c r="J13" s="72">
        <v>836</v>
      </c>
      <c r="K13" s="21">
        <v>11225.5466148325</v>
      </c>
      <c r="L13" s="49"/>
    </row>
    <row r="14" s="24" customFormat="1" customHeight="1" spans="2:12">
      <c r="B14" s="37">
        <v>3</v>
      </c>
      <c r="C14" s="23" t="s">
        <v>31</v>
      </c>
      <c r="D14" s="42">
        <v>260.290085</v>
      </c>
      <c r="E14" s="43"/>
      <c r="F14" s="43"/>
      <c r="G14" s="44"/>
      <c r="H14" s="44">
        <v>260.290085</v>
      </c>
      <c r="I14" s="6" t="s">
        <v>22</v>
      </c>
      <c r="J14" s="72">
        <v>1093.32</v>
      </c>
      <c r="K14" s="21">
        <v>2380.73103025647</v>
      </c>
      <c r="L14" s="49"/>
    </row>
    <row r="15" s="24" customFormat="1" customHeight="1" spans="2:12">
      <c r="B15" s="37">
        <v>4</v>
      </c>
      <c r="C15" s="23" t="s">
        <v>8</v>
      </c>
      <c r="D15" s="42">
        <v>338.851652</v>
      </c>
      <c r="E15" s="43"/>
      <c r="F15" s="43"/>
      <c r="G15" s="44"/>
      <c r="H15" s="44">
        <v>338.851652</v>
      </c>
      <c r="I15" s="6" t="s">
        <v>22</v>
      </c>
      <c r="J15" s="72">
        <v>1093.32</v>
      </c>
      <c r="K15" s="21">
        <v>3099.29071086233</v>
      </c>
      <c r="L15" s="49"/>
    </row>
    <row r="16" s="25" customFormat="1" customHeight="1" spans="2:12">
      <c r="B16" s="37"/>
      <c r="C16" s="23"/>
      <c r="D16" s="42"/>
      <c r="E16" s="43"/>
      <c r="F16" s="43"/>
      <c r="G16" s="44"/>
      <c r="H16" s="44"/>
      <c r="I16" s="6"/>
      <c r="J16" s="72"/>
      <c r="K16" s="21"/>
      <c r="L16" s="49"/>
    </row>
    <row r="17" customHeight="1" spans="2:12">
      <c r="B17" s="37"/>
      <c r="C17" s="216" t="s">
        <v>32</v>
      </c>
      <c r="D17" s="40">
        <v>2256.186466</v>
      </c>
      <c r="E17" s="40">
        <v>0</v>
      </c>
      <c r="F17" s="40">
        <v>0</v>
      </c>
      <c r="G17" s="40">
        <v>0</v>
      </c>
      <c r="H17" s="40">
        <v>2256.186466</v>
      </c>
      <c r="I17" s="49"/>
      <c r="J17" s="72"/>
      <c r="K17" s="72"/>
      <c r="L17" s="49"/>
    </row>
    <row r="18" customHeight="1" spans="2:12">
      <c r="B18" s="37"/>
      <c r="C18" s="45" t="s">
        <v>33</v>
      </c>
      <c r="D18" s="46">
        <v>0</v>
      </c>
      <c r="E18" s="46">
        <v>0</v>
      </c>
      <c r="F18" s="46">
        <v>0</v>
      </c>
      <c r="G18" s="46">
        <v>1641.25013678627</v>
      </c>
      <c r="H18" s="40">
        <v>1641.25013678627</v>
      </c>
      <c r="I18" s="6"/>
      <c r="J18" s="21"/>
      <c r="K18" s="21"/>
      <c r="L18" s="6"/>
    </row>
    <row r="19" customHeight="1" spans="2:12">
      <c r="B19" s="37">
        <v>1</v>
      </c>
      <c r="C19" s="47" t="s">
        <v>34</v>
      </c>
      <c r="D19" s="48"/>
      <c r="E19" s="48"/>
      <c r="F19" s="48"/>
      <c r="G19" s="48"/>
      <c r="H19" s="49">
        <v>1123.09</v>
      </c>
      <c r="I19" s="47"/>
      <c r="J19" s="21"/>
      <c r="K19" s="21"/>
      <c r="L19" s="74"/>
    </row>
    <row r="20" customHeight="1" spans="2:12">
      <c r="B20" s="37">
        <v>-1</v>
      </c>
      <c r="C20" s="47" t="s">
        <v>35</v>
      </c>
      <c r="D20" s="6"/>
      <c r="E20" s="6"/>
      <c r="F20" s="6"/>
      <c r="G20" s="48">
        <v>1123.09</v>
      </c>
      <c r="H20" s="49">
        <v>1123.09</v>
      </c>
      <c r="I20" s="47" t="s">
        <v>36</v>
      </c>
      <c r="J20" s="21"/>
      <c r="K20" s="21"/>
      <c r="L20" s="47"/>
    </row>
    <row r="21" customHeight="1" spans="2:12">
      <c r="B21" s="37">
        <v>2</v>
      </c>
      <c r="C21" s="47" t="s">
        <v>37</v>
      </c>
      <c r="D21" s="48"/>
      <c r="E21" s="48"/>
      <c r="F21" s="48"/>
      <c r="G21" s="48">
        <v>47.9763142908</v>
      </c>
      <c r="H21" s="49">
        <v>47.9763142908</v>
      </c>
      <c r="I21" s="47" t="s">
        <v>38</v>
      </c>
      <c r="J21" s="21"/>
      <c r="K21" s="21"/>
      <c r="L21" s="6"/>
    </row>
    <row r="22" customHeight="1" spans="2:12">
      <c r="B22" s="37">
        <v>3</v>
      </c>
      <c r="C22" s="217" t="s">
        <v>39</v>
      </c>
      <c r="D22" s="48"/>
      <c r="E22" s="48"/>
      <c r="F22" s="48"/>
      <c r="G22" s="48">
        <v>60.248475184</v>
      </c>
      <c r="H22" s="49">
        <v>60.248475184</v>
      </c>
      <c r="I22" s="47" t="s">
        <v>40</v>
      </c>
      <c r="J22" s="21"/>
      <c r="K22" s="21"/>
      <c r="L22" s="47"/>
    </row>
    <row r="23" customHeight="1" spans="2:12">
      <c r="B23" s="37">
        <v>4</v>
      </c>
      <c r="C23" s="47" t="s">
        <v>41</v>
      </c>
      <c r="D23" s="6"/>
      <c r="E23" s="6"/>
      <c r="F23" s="6"/>
      <c r="G23" s="48"/>
      <c r="H23" s="49">
        <v>19.2482544348</v>
      </c>
      <c r="I23" s="47"/>
      <c r="J23" s="21"/>
      <c r="K23" s="21"/>
      <c r="L23" s="47"/>
    </row>
    <row r="24" customHeight="1" spans="2:12">
      <c r="B24" s="37">
        <v>-1</v>
      </c>
      <c r="C24" s="47" t="s">
        <v>42</v>
      </c>
      <c r="D24" s="6"/>
      <c r="E24" s="6"/>
      <c r="F24" s="6"/>
      <c r="G24" s="48">
        <v>9.824745864</v>
      </c>
      <c r="H24" s="49">
        <v>9.824745864</v>
      </c>
      <c r="I24" s="47" t="s">
        <v>43</v>
      </c>
      <c r="J24" s="21"/>
      <c r="K24" s="21"/>
      <c r="L24" s="47"/>
    </row>
    <row r="25" customHeight="1" spans="2:12">
      <c r="B25" s="37">
        <v>-2</v>
      </c>
      <c r="C25" s="47" t="s">
        <v>44</v>
      </c>
      <c r="D25" s="6"/>
      <c r="E25" s="6"/>
      <c r="F25" s="6"/>
      <c r="G25" s="48">
        <v>9.4235085708</v>
      </c>
      <c r="H25" s="49">
        <v>9.4235085708</v>
      </c>
      <c r="I25" s="47" t="s">
        <v>43</v>
      </c>
      <c r="J25" s="21"/>
      <c r="K25" s="21"/>
      <c r="L25" s="47"/>
    </row>
    <row r="26" hidden="1" customHeight="1" spans="2:12">
      <c r="B26" s="37">
        <v>-3</v>
      </c>
      <c r="C26" s="47" t="s">
        <v>45</v>
      </c>
      <c r="D26" s="6"/>
      <c r="E26" s="6"/>
      <c r="F26" s="6"/>
      <c r="G26" s="48">
        <v>0</v>
      </c>
      <c r="H26" s="49">
        <v>0</v>
      </c>
      <c r="I26" s="47" t="s">
        <v>43</v>
      </c>
      <c r="J26" s="21"/>
      <c r="K26" s="21"/>
      <c r="L26" s="47"/>
    </row>
    <row r="27" customHeight="1" spans="2:12">
      <c r="B27" s="37">
        <v>5</v>
      </c>
      <c r="C27" s="47" t="s">
        <v>46</v>
      </c>
      <c r="D27" s="48"/>
      <c r="E27" s="48"/>
      <c r="F27" s="48"/>
      <c r="G27" s="48"/>
      <c r="H27" s="49">
        <v>5.6</v>
      </c>
      <c r="I27" s="47"/>
      <c r="J27" s="21"/>
      <c r="K27" s="21"/>
      <c r="L27" s="47"/>
    </row>
    <row r="28" customHeight="1" spans="2:12">
      <c r="B28" s="37">
        <v>-1</v>
      </c>
      <c r="C28" s="47" t="s">
        <v>47</v>
      </c>
      <c r="D28" s="48"/>
      <c r="E28" s="48"/>
      <c r="F28" s="48"/>
      <c r="G28" s="48">
        <v>5.6</v>
      </c>
      <c r="H28" s="49">
        <v>5.6</v>
      </c>
      <c r="I28" s="47" t="s">
        <v>48</v>
      </c>
      <c r="J28" s="21"/>
      <c r="K28" s="21"/>
      <c r="L28" s="47"/>
    </row>
    <row r="29" customHeight="1" spans="2:12">
      <c r="B29" s="37">
        <v>6</v>
      </c>
      <c r="C29" s="47" t="s">
        <v>49</v>
      </c>
      <c r="D29" s="6"/>
      <c r="E29" s="6"/>
      <c r="F29" s="6"/>
      <c r="G29" s="48">
        <v>6.5119819435363</v>
      </c>
      <c r="H29" s="49">
        <v>6.5119819435363</v>
      </c>
      <c r="I29" s="47" t="s">
        <v>50</v>
      </c>
      <c r="J29" s="21"/>
      <c r="K29" s="21"/>
      <c r="L29" s="47"/>
    </row>
    <row r="30" customHeight="1" spans="2:12">
      <c r="B30" s="37">
        <v>7</v>
      </c>
      <c r="C30" s="47" t="s">
        <v>51</v>
      </c>
      <c r="D30" s="6"/>
      <c r="E30" s="6"/>
      <c r="F30" s="6"/>
      <c r="G30" s="48"/>
      <c r="H30" s="49">
        <v>15.2306056567348</v>
      </c>
      <c r="I30" s="47"/>
      <c r="J30" s="21"/>
      <c r="K30" s="21"/>
      <c r="L30" s="47"/>
    </row>
    <row r="31" s="26" customFormat="1" customHeight="1" spans="2:12">
      <c r="B31" s="37">
        <v>-1</v>
      </c>
      <c r="C31" s="47" t="s">
        <v>52</v>
      </c>
      <c r="D31" s="6"/>
      <c r="E31" s="6"/>
      <c r="F31" s="6"/>
      <c r="G31" s="48">
        <v>6.20297695144152</v>
      </c>
      <c r="H31" s="49">
        <v>6.20297695144152</v>
      </c>
      <c r="I31" s="47" t="s">
        <v>53</v>
      </c>
      <c r="J31" s="21"/>
      <c r="K31" s="21"/>
      <c r="L31" s="47"/>
    </row>
    <row r="32" customHeight="1" spans="2:12">
      <c r="B32" s="37">
        <v>-2</v>
      </c>
      <c r="C32" s="47" t="s">
        <v>54</v>
      </c>
      <c r="D32" s="6"/>
      <c r="E32" s="6"/>
      <c r="F32" s="6"/>
      <c r="G32" s="48">
        <v>6.20297695144152</v>
      </c>
      <c r="H32" s="49">
        <v>6.20297695144152</v>
      </c>
      <c r="I32" s="47" t="s">
        <v>53</v>
      </c>
      <c r="J32" s="21"/>
      <c r="K32" s="21"/>
      <c r="L32" s="47"/>
    </row>
    <row r="33" customHeight="1" spans="2:12">
      <c r="B33" s="37">
        <v>-3</v>
      </c>
      <c r="C33" s="50" t="s">
        <v>55</v>
      </c>
      <c r="D33" s="6"/>
      <c r="E33" s="6"/>
      <c r="F33" s="6"/>
      <c r="G33" s="48">
        <v>0.75699277003797</v>
      </c>
      <c r="H33" s="49">
        <v>0.75699277003797</v>
      </c>
      <c r="I33" s="47" t="s">
        <v>53</v>
      </c>
      <c r="J33" s="21"/>
      <c r="K33" s="21"/>
      <c r="L33" s="47"/>
    </row>
    <row r="34" customHeight="1" spans="2:12">
      <c r="B34" s="37">
        <v>-4</v>
      </c>
      <c r="C34" s="47" t="s">
        <v>56</v>
      </c>
      <c r="D34" s="6"/>
      <c r="E34" s="6"/>
      <c r="F34" s="6"/>
      <c r="G34" s="48">
        <v>2.06765898381384</v>
      </c>
      <c r="H34" s="49">
        <v>2.06765898381384</v>
      </c>
      <c r="I34" s="47" t="s">
        <v>53</v>
      </c>
      <c r="J34" s="21"/>
      <c r="K34" s="21"/>
      <c r="L34" s="47"/>
    </row>
    <row r="35" customHeight="1" spans="2:12">
      <c r="B35" s="37">
        <v>8</v>
      </c>
      <c r="C35" s="51" t="s">
        <v>57</v>
      </c>
      <c r="D35" s="52"/>
      <c r="E35" s="52"/>
      <c r="F35" s="52"/>
      <c r="G35" s="53">
        <v>0.76</v>
      </c>
      <c r="H35" s="54">
        <v>0.76</v>
      </c>
      <c r="I35" s="89" t="s">
        <v>58</v>
      </c>
      <c r="J35" s="90"/>
      <c r="K35" s="75"/>
      <c r="L35" s="76"/>
    </row>
    <row r="36" customHeight="1" spans="2:12">
      <c r="B36" s="37">
        <v>9</v>
      </c>
      <c r="C36" s="47" t="s">
        <v>59</v>
      </c>
      <c r="D36" s="6"/>
      <c r="E36" s="6"/>
      <c r="F36" s="6"/>
      <c r="G36" s="48">
        <v>13.12937765341</v>
      </c>
      <c r="H36" s="49">
        <v>13.12937765341</v>
      </c>
      <c r="I36" s="91" t="s">
        <v>60</v>
      </c>
      <c r="J36" s="78"/>
      <c r="K36" s="21"/>
      <c r="L36" s="47"/>
    </row>
    <row r="37" customHeight="1" spans="2:12">
      <c r="B37" s="37">
        <v>10</v>
      </c>
      <c r="C37" s="12" t="s">
        <v>61</v>
      </c>
      <c r="D37" s="6"/>
      <c r="E37" s="6"/>
      <c r="F37" s="6"/>
      <c r="G37" s="48"/>
      <c r="H37" s="49">
        <v>102.187924805</v>
      </c>
      <c r="I37" s="77"/>
      <c r="J37" s="78"/>
      <c r="K37" s="21"/>
      <c r="L37" s="47"/>
    </row>
    <row r="38" customHeight="1" spans="2:12">
      <c r="B38" s="37">
        <v>-1</v>
      </c>
      <c r="C38" s="12" t="s">
        <v>62</v>
      </c>
      <c r="D38" s="48"/>
      <c r="E38" s="48"/>
      <c r="F38" s="48"/>
      <c r="G38" s="55">
        <v>5.640466165</v>
      </c>
      <c r="H38" s="49">
        <v>5.640466165</v>
      </c>
      <c r="I38" s="47" t="s">
        <v>63</v>
      </c>
      <c r="J38" s="21"/>
      <c r="K38" s="21"/>
      <c r="L38" s="47"/>
    </row>
    <row r="39" customHeight="1" spans="2:12">
      <c r="B39" s="37">
        <v>-2</v>
      </c>
      <c r="C39" s="12" t="s">
        <v>64</v>
      </c>
      <c r="D39" s="48"/>
      <c r="E39" s="48"/>
      <c r="F39" s="48"/>
      <c r="G39" s="55">
        <v>16.921398495</v>
      </c>
      <c r="H39" s="49">
        <v>16.921398495</v>
      </c>
      <c r="I39" s="47" t="s">
        <v>65</v>
      </c>
      <c r="J39" s="21"/>
      <c r="K39" s="21"/>
      <c r="L39" s="47"/>
    </row>
    <row r="40" s="27" customFormat="1" ht="23.25" customHeight="1" spans="2:12">
      <c r="B40" s="37">
        <v>-3</v>
      </c>
      <c r="C40" s="12" t="s">
        <v>66</v>
      </c>
      <c r="D40" s="6"/>
      <c r="E40" s="6"/>
      <c r="F40" s="6"/>
      <c r="G40" s="55">
        <v>79.626060145</v>
      </c>
      <c r="H40" s="49">
        <v>79.626060145</v>
      </c>
      <c r="I40" s="47" t="s">
        <v>67</v>
      </c>
      <c r="J40" s="21"/>
      <c r="K40" s="21"/>
      <c r="L40" s="47"/>
    </row>
    <row r="41" s="28" customFormat="1" customHeight="1" spans="2:12">
      <c r="B41" s="37">
        <v>11</v>
      </c>
      <c r="C41" s="47" t="s">
        <v>68</v>
      </c>
      <c r="D41" s="6"/>
      <c r="E41" s="6"/>
      <c r="F41" s="6"/>
      <c r="G41" s="48">
        <v>5.175693909425</v>
      </c>
      <c r="H41" s="49">
        <v>5.175693909425</v>
      </c>
      <c r="I41" s="47" t="s">
        <v>69</v>
      </c>
      <c r="J41" s="21"/>
      <c r="K41" s="21"/>
      <c r="L41" s="47"/>
    </row>
    <row r="42" s="28" customFormat="1" customHeight="1" spans="2:12">
      <c r="B42" s="37">
        <v>12</v>
      </c>
      <c r="C42" s="47" t="s">
        <v>70</v>
      </c>
      <c r="D42" s="48"/>
      <c r="E42" s="48"/>
      <c r="F42" s="48"/>
      <c r="G42" s="48">
        <v>22.56186466</v>
      </c>
      <c r="H42" s="49">
        <v>22.56186466</v>
      </c>
      <c r="I42" s="47" t="s">
        <v>71</v>
      </c>
      <c r="J42" s="21"/>
      <c r="K42" s="21"/>
      <c r="L42" s="47"/>
    </row>
    <row r="43" s="28" customFormat="1" customHeight="1" spans="2:12">
      <c r="B43" s="37">
        <v>13</v>
      </c>
      <c r="C43" s="47" t="s">
        <v>72</v>
      </c>
      <c r="D43" s="48"/>
      <c r="E43" s="48"/>
      <c r="F43" s="48"/>
      <c r="G43" s="48">
        <v>10.152839097</v>
      </c>
      <c r="H43" s="49">
        <v>10.152839097</v>
      </c>
      <c r="I43" s="47" t="s">
        <v>73</v>
      </c>
      <c r="J43" s="21"/>
      <c r="K43" s="21"/>
      <c r="L43" s="47"/>
    </row>
    <row r="44" s="28" customFormat="1" customHeight="1" spans="2:12">
      <c r="B44" s="37">
        <v>14</v>
      </c>
      <c r="C44" s="47" t="s">
        <v>74</v>
      </c>
      <c r="D44" s="48"/>
      <c r="E44" s="48"/>
      <c r="F44" s="48"/>
      <c r="G44" s="48">
        <v>15.793305262</v>
      </c>
      <c r="H44" s="49">
        <v>15.793305262</v>
      </c>
      <c r="I44" s="47" t="s">
        <v>75</v>
      </c>
      <c r="J44" s="21"/>
      <c r="K44" s="21"/>
      <c r="L44" s="47"/>
    </row>
    <row r="45" s="28" customFormat="1" customHeight="1" spans="2:12">
      <c r="B45" s="37">
        <v>15</v>
      </c>
      <c r="C45" s="87" t="s">
        <v>76</v>
      </c>
      <c r="D45" s="48"/>
      <c r="E45" s="48"/>
      <c r="F45" s="48"/>
      <c r="G45" s="48">
        <v>5.8215</v>
      </c>
      <c r="H45" s="49">
        <v>5.8215</v>
      </c>
      <c r="I45" s="47" t="s">
        <v>77</v>
      </c>
      <c r="J45" s="21"/>
      <c r="K45" s="21"/>
      <c r="L45" s="47"/>
    </row>
    <row r="46" s="28" customFormat="1" customHeight="1" spans="2:12">
      <c r="B46" s="37">
        <v>16</v>
      </c>
      <c r="C46" s="87" t="s">
        <v>78</v>
      </c>
      <c r="D46" s="48"/>
      <c r="E46" s="48"/>
      <c r="F46" s="48"/>
      <c r="G46" s="48">
        <v>7.762</v>
      </c>
      <c r="H46" s="49">
        <v>7.762</v>
      </c>
      <c r="I46" s="47" t="s">
        <v>77</v>
      </c>
      <c r="J46" s="21"/>
      <c r="K46" s="21"/>
      <c r="L46" s="47"/>
    </row>
    <row r="47" s="29" customFormat="1" customHeight="1" spans="2:12">
      <c r="B47" s="37">
        <v>17</v>
      </c>
      <c r="C47" s="57" t="s">
        <v>79</v>
      </c>
      <c r="D47" s="59"/>
      <c r="E47" s="59"/>
      <c r="F47" s="59"/>
      <c r="G47" s="88">
        <v>10</v>
      </c>
      <c r="H47" s="58">
        <v>10</v>
      </c>
      <c r="I47" s="57" t="s">
        <v>36</v>
      </c>
      <c r="J47" s="79"/>
      <c r="K47" s="80"/>
      <c r="L47" s="81"/>
    </row>
    <row r="48" s="29" customFormat="1" customHeight="1" spans="2:12">
      <c r="B48" s="37">
        <v>18</v>
      </c>
      <c r="C48" s="57" t="s">
        <v>80</v>
      </c>
      <c r="D48" s="59"/>
      <c r="E48" s="59"/>
      <c r="F48" s="59"/>
      <c r="G48" s="88">
        <v>10</v>
      </c>
      <c r="H48" s="58">
        <v>10</v>
      </c>
      <c r="I48" s="57" t="s">
        <v>36</v>
      </c>
      <c r="J48" s="79"/>
      <c r="K48" s="80"/>
      <c r="L48" s="81"/>
    </row>
    <row r="49" s="29" customFormat="1" customHeight="1" spans="2:12">
      <c r="B49" s="37">
        <v>19</v>
      </c>
      <c r="C49" s="60" t="s">
        <v>81</v>
      </c>
      <c r="D49" s="59"/>
      <c r="E49" s="59"/>
      <c r="F49" s="59"/>
      <c r="G49" s="88">
        <v>20</v>
      </c>
      <c r="H49" s="58">
        <v>20</v>
      </c>
      <c r="I49" s="57" t="s">
        <v>36</v>
      </c>
      <c r="J49" s="79"/>
      <c r="K49" s="80"/>
      <c r="L49" s="81"/>
    </row>
    <row r="50" s="29" customFormat="1" customHeight="1" spans="2:12">
      <c r="B50" s="37">
        <v>20</v>
      </c>
      <c r="C50" s="60" t="s">
        <v>82</v>
      </c>
      <c r="D50" s="59"/>
      <c r="E50" s="59"/>
      <c r="F50" s="59"/>
      <c r="G50" s="88">
        <v>10</v>
      </c>
      <c r="H50" s="58">
        <v>10</v>
      </c>
      <c r="I50" s="57" t="s">
        <v>36</v>
      </c>
      <c r="J50" s="79"/>
      <c r="K50" s="80"/>
      <c r="L50" s="81"/>
    </row>
    <row r="51" s="29" customFormat="1" customHeight="1" spans="2:12">
      <c r="B51" s="37">
        <v>21</v>
      </c>
      <c r="C51" s="60" t="s">
        <v>83</v>
      </c>
      <c r="D51" s="59"/>
      <c r="E51" s="59"/>
      <c r="F51" s="59"/>
      <c r="G51" s="88">
        <v>30</v>
      </c>
      <c r="H51" s="58">
        <v>30</v>
      </c>
      <c r="I51" s="57" t="s">
        <v>36</v>
      </c>
      <c r="J51" s="79"/>
      <c r="K51" s="80"/>
      <c r="L51" s="81"/>
    </row>
    <row r="52" s="29" customFormat="1" customHeight="1" spans="2:12">
      <c r="B52" s="37">
        <v>22</v>
      </c>
      <c r="C52" s="61" t="s">
        <v>84</v>
      </c>
      <c r="D52" s="62"/>
      <c r="E52" s="62"/>
      <c r="F52" s="62"/>
      <c r="G52" s="88">
        <v>50</v>
      </c>
      <c r="H52" s="58">
        <v>50</v>
      </c>
      <c r="I52" s="57" t="s">
        <v>36</v>
      </c>
      <c r="J52" s="82"/>
      <c r="K52" s="83"/>
      <c r="L52" s="81"/>
    </row>
    <row r="53" s="29" customFormat="1" customHeight="1" spans="2:12">
      <c r="B53" s="37">
        <v>23</v>
      </c>
      <c r="C53" s="63" t="s">
        <v>85</v>
      </c>
      <c r="D53" s="64"/>
      <c r="E53" s="64"/>
      <c r="F53" s="64"/>
      <c r="G53" s="88">
        <v>15</v>
      </c>
      <c r="H53" s="58">
        <v>15</v>
      </c>
      <c r="I53" s="57" t="s">
        <v>36</v>
      </c>
      <c r="J53" s="79"/>
      <c r="K53" s="80"/>
      <c r="L53" s="81"/>
    </row>
    <row r="54" s="29" customFormat="1" customHeight="1" spans="2:12">
      <c r="B54" s="37">
        <v>24</v>
      </c>
      <c r="C54" s="63" t="s">
        <v>86</v>
      </c>
      <c r="D54" s="64"/>
      <c r="E54" s="64"/>
      <c r="F54" s="64"/>
      <c r="G54" s="88">
        <v>10</v>
      </c>
      <c r="H54" s="58">
        <v>10</v>
      </c>
      <c r="I54" s="57" t="s">
        <v>36</v>
      </c>
      <c r="J54" s="79"/>
      <c r="K54" s="80"/>
      <c r="L54" s="81"/>
    </row>
    <row r="55" s="29" customFormat="1" customHeight="1" spans="2:12">
      <c r="B55" s="37">
        <v>25</v>
      </c>
      <c r="C55" s="63" t="s">
        <v>87</v>
      </c>
      <c r="D55" s="64"/>
      <c r="E55" s="64"/>
      <c r="F55" s="64"/>
      <c r="G55" s="88">
        <v>20</v>
      </c>
      <c r="H55" s="58">
        <v>20</v>
      </c>
      <c r="I55" s="57" t="s">
        <v>36</v>
      </c>
      <c r="J55" s="79"/>
      <c r="K55" s="80"/>
      <c r="L55" s="81"/>
    </row>
    <row r="56" s="29" customFormat="1" customHeight="1" spans="2:12">
      <c r="B56" s="37">
        <v>26</v>
      </c>
      <c r="C56" s="63" t="s">
        <v>88</v>
      </c>
      <c r="D56" s="64"/>
      <c r="E56" s="64"/>
      <c r="F56" s="64"/>
      <c r="G56" s="88">
        <v>5</v>
      </c>
      <c r="H56" s="58">
        <v>5</v>
      </c>
      <c r="I56" s="57" t="s">
        <v>36</v>
      </c>
      <c r="J56" s="79"/>
      <c r="K56" s="80"/>
      <c r="L56" s="81"/>
    </row>
    <row r="57" customHeight="1" spans="2:12">
      <c r="B57" s="37"/>
      <c r="C57" s="47"/>
      <c r="D57" s="6"/>
      <c r="E57" s="6"/>
      <c r="F57" s="6"/>
      <c r="G57" s="48"/>
      <c r="H57" s="48"/>
      <c r="I57" s="6"/>
      <c r="J57" s="21"/>
      <c r="K57" s="21"/>
      <c r="L57" s="6"/>
    </row>
    <row r="58" customHeight="1" spans="2:12">
      <c r="B58" s="37"/>
      <c r="C58" s="216" t="s">
        <v>89</v>
      </c>
      <c r="D58" s="40"/>
      <c r="E58" s="40"/>
      <c r="F58" s="40"/>
      <c r="G58" s="40">
        <v>1641.25013678627</v>
      </c>
      <c r="H58" s="40">
        <v>1641.25013678627</v>
      </c>
      <c r="I58" s="49"/>
      <c r="J58" s="72"/>
      <c r="K58" s="72"/>
      <c r="L58" s="49"/>
    </row>
    <row r="59" customHeight="1" spans="2:12">
      <c r="B59" s="37"/>
      <c r="C59" s="218" t="s">
        <v>90</v>
      </c>
      <c r="D59" s="46">
        <v>2256.186466</v>
      </c>
      <c r="E59" s="46">
        <v>0</v>
      </c>
      <c r="F59" s="46">
        <v>0</v>
      </c>
      <c r="G59" s="46">
        <v>1641.25013678627</v>
      </c>
      <c r="H59" s="40">
        <v>3897.43660278627</v>
      </c>
      <c r="I59" s="6"/>
      <c r="J59" s="21"/>
      <c r="K59" s="21"/>
      <c r="L59" s="6"/>
    </row>
    <row r="60" customHeight="1" spans="2:12">
      <c r="B60" s="37"/>
      <c r="C60" s="45" t="s">
        <v>91</v>
      </c>
      <c r="D60" s="6"/>
      <c r="E60" s="6"/>
      <c r="F60" s="6"/>
      <c r="G60" s="46">
        <v>138.717330127679</v>
      </c>
      <c r="H60" s="40">
        <v>138.717330127679</v>
      </c>
      <c r="I60" s="6"/>
      <c r="J60" s="21"/>
      <c r="K60" s="21"/>
      <c r="L60" s="6"/>
    </row>
    <row r="61" customHeight="1" spans="2:12">
      <c r="B61" s="37"/>
      <c r="C61" s="47" t="s">
        <v>194</v>
      </c>
      <c r="D61" s="6"/>
      <c r="E61" s="6"/>
      <c r="F61" s="6"/>
      <c r="G61" s="65">
        <v>138.717330139313</v>
      </c>
      <c r="H61" s="48">
        <v>138.717330139313</v>
      </c>
      <c r="I61" s="6"/>
      <c r="J61" s="21"/>
      <c r="K61" s="21"/>
      <c r="L61" s="6"/>
    </row>
    <row r="62" customHeight="1" spans="2:12">
      <c r="B62" s="37"/>
      <c r="C62" s="45"/>
      <c r="D62" s="6"/>
      <c r="E62" s="6"/>
      <c r="F62" s="6"/>
      <c r="G62" s="6"/>
      <c r="H62" s="6"/>
      <c r="I62" s="6"/>
      <c r="J62" s="21"/>
      <c r="K62" s="21"/>
      <c r="L62" s="6"/>
    </row>
    <row r="63" customHeight="1" spans="2:12">
      <c r="B63" s="37"/>
      <c r="C63" s="218" t="s">
        <v>92</v>
      </c>
      <c r="D63" s="46">
        <v>2256.186466</v>
      </c>
      <c r="E63" s="46">
        <v>0</v>
      </c>
      <c r="F63" s="46">
        <v>0</v>
      </c>
      <c r="G63" s="46">
        <v>1779.96746691395</v>
      </c>
      <c r="H63" s="40">
        <v>4036.15393291395</v>
      </c>
      <c r="I63" s="6"/>
      <c r="J63" s="21"/>
      <c r="K63" s="21"/>
      <c r="L63" s="6"/>
    </row>
    <row r="64" customHeight="1" spans="2:12">
      <c r="B64" s="37"/>
      <c r="C64" s="45"/>
      <c r="D64" s="6"/>
      <c r="E64" s="6"/>
      <c r="F64" s="6"/>
      <c r="G64" s="6"/>
      <c r="H64" s="6"/>
      <c r="I64" s="6"/>
      <c r="J64" s="21"/>
      <c r="K64" s="21"/>
      <c r="L64" s="6"/>
    </row>
    <row r="65" customHeight="1" spans="2:12">
      <c r="B65" s="86"/>
      <c r="C65" s="45" t="s">
        <v>93</v>
      </c>
      <c r="D65" s="46">
        <v>2256.186466</v>
      </c>
      <c r="E65" s="46">
        <v>0</v>
      </c>
      <c r="F65" s="46">
        <v>0</v>
      </c>
      <c r="G65" s="46">
        <v>1779.96746691395</v>
      </c>
      <c r="H65" s="40">
        <v>4036.15393291395</v>
      </c>
      <c r="I65" s="6"/>
      <c r="J65" s="21"/>
      <c r="K65" s="21"/>
      <c r="L65" s="6"/>
    </row>
    <row r="66" customHeight="1" spans="2:12">
      <c r="B66" s="37"/>
      <c r="C66" s="47"/>
      <c r="D66" s="6"/>
      <c r="E66" s="6"/>
      <c r="F66" s="6"/>
      <c r="G66" s="6"/>
      <c r="H66" s="48"/>
      <c r="I66" s="6"/>
      <c r="J66" s="21"/>
      <c r="K66" s="21"/>
      <c r="L66" s="6"/>
    </row>
  </sheetData>
  <autoFilter ref="C3:C66">
    <extLst/>
  </autoFilter>
  <mergeCells count="7">
    <mergeCell ref="B1:L1"/>
    <mergeCell ref="D3:H3"/>
    <mergeCell ref="I3:K3"/>
    <mergeCell ref="I35:J35"/>
    <mergeCell ref="B3:B4"/>
    <mergeCell ref="C3:C4"/>
    <mergeCell ref="L3:L4"/>
  </mergeCells>
  <conditionalFormatting sqref="H5">
    <cfRule type="cellIs" dxfId="0" priority="6" operator="notEqual">
      <formula>SUM($D$5:$G$5)</formula>
    </cfRule>
  </conditionalFormatting>
  <printOptions horizontalCentered="1"/>
  <pageMargins left="0.707638888888889" right="0.590277777777778" top="0.984027777777778" bottom="0.786805555555556" header="0.313888888888889" footer="0.313888888888889"/>
  <pageSetup paperSize="9" orientation="landscape" blackAndWhite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L66"/>
  <sheetViews>
    <sheetView showGridLines="0" showZeros="0" topLeftCell="B1" workbookViewId="0">
      <pane xSplit="1" ySplit="5" topLeftCell="C6" activePane="bottomRight" state="frozen"/>
      <selection/>
      <selection pane="topRight"/>
      <selection pane="bottomLeft"/>
      <selection pane="bottomRight" activeCell="J67" sqref="J67"/>
    </sheetView>
  </sheetViews>
  <sheetFormatPr defaultColWidth="9" defaultRowHeight="18" customHeight="1"/>
  <cols>
    <col min="1" max="1" width="9" style="30"/>
    <col min="2" max="2" width="5.50833333333333" style="31" customWidth="1"/>
    <col min="3" max="3" width="32.5083333333333" style="30" customWidth="1"/>
    <col min="4" max="4" width="10.1333333333333" style="30" customWidth="1"/>
    <col min="5" max="5" width="8.50833333333333" style="30" customWidth="1"/>
    <col min="6" max="6" width="9.13333333333333" style="30" customWidth="1"/>
    <col min="7" max="8" width="9.88333333333333" style="30" customWidth="1"/>
    <col min="9" max="9" width="7.38333333333333" style="30" customWidth="1"/>
    <col min="10" max="10" width="8.88333333333333" style="32" customWidth="1"/>
    <col min="11" max="11" width="10.3833333333333" style="32" customWidth="1"/>
    <col min="12" max="12" width="18.6333333333333" style="30" customWidth="1"/>
    <col min="13" max="16384" width="9" style="30"/>
  </cols>
  <sheetData>
    <row r="1" s="24" customFormat="1" ht="27" customHeight="1" spans="2:12">
      <c r="B1" s="33" t="s">
        <v>0</v>
      </c>
      <c r="C1" s="34"/>
      <c r="D1" s="34"/>
      <c r="E1" s="34"/>
      <c r="F1" s="34"/>
      <c r="G1" s="34"/>
      <c r="H1" s="34"/>
      <c r="I1" s="66"/>
      <c r="J1" s="67"/>
      <c r="K1" s="68"/>
      <c r="L1" s="69"/>
    </row>
    <row r="2" s="24" customFormat="1" customHeight="1" spans="2:11">
      <c r="B2" s="215" t="s">
        <v>1</v>
      </c>
      <c r="C2" s="36"/>
      <c r="D2" s="36"/>
      <c r="E2" s="36"/>
      <c r="F2" s="36"/>
      <c r="G2" s="36"/>
      <c r="H2" s="36"/>
      <c r="I2" s="36"/>
      <c r="J2" s="70"/>
      <c r="K2" s="70"/>
    </row>
    <row r="3" s="24" customFormat="1" ht="20.25" customHeight="1" spans="2:12">
      <c r="B3" s="37" t="s">
        <v>2</v>
      </c>
      <c r="C3" s="6" t="s">
        <v>3</v>
      </c>
      <c r="D3" s="6" t="s">
        <v>4</v>
      </c>
      <c r="E3" s="6"/>
      <c r="F3" s="6"/>
      <c r="G3" s="6"/>
      <c r="H3" s="6"/>
      <c r="I3" s="6" t="s">
        <v>5</v>
      </c>
      <c r="J3" s="21"/>
      <c r="K3" s="21"/>
      <c r="L3" s="6" t="s">
        <v>6</v>
      </c>
    </row>
    <row r="4" s="24" customFormat="1" ht="25.5" customHeight="1" spans="2:12">
      <c r="B4" s="37"/>
      <c r="C4" s="6"/>
      <c r="D4" s="38" t="s">
        <v>8</v>
      </c>
      <c r="E4" s="38" t="s">
        <v>9</v>
      </c>
      <c r="F4" s="38" t="s">
        <v>10</v>
      </c>
      <c r="G4" s="38" t="s">
        <v>11</v>
      </c>
      <c r="H4" s="38" t="s">
        <v>12</v>
      </c>
      <c r="I4" s="38" t="s">
        <v>13</v>
      </c>
      <c r="J4" s="71" t="s">
        <v>14</v>
      </c>
      <c r="K4" s="71" t="s">
        <v>15</v>
      </c>
      <c r="L4" s="6"/>
    </row>
    <row r="5" s="24" customFormat="1" customHeight="1" spans="2:12">
      <c r="B5" s="37"/>
      <c r="C5" s="39" t="s">
        <v>19</v>
      </c>
      <c r="D5" s="40">
        <v>2181.936447</v>
      </c>
      <c r="E5" s="40">
        <v>0</v>
      </c>
      <c r="F5" s="40">
        <v>0</v>
      </c>
      <c r="G5" s="40">
        <v>0</v>
      </c>
      <c r="H5" s="40">
        <v>2181.936447</v>
      </c>
      <c r="I5" s="49"/>
      <c r="J5" s="72"/>
      <c r="K5" s="72"/>
      <c r="L5" s="49"/>
    </row>
    <row r="6" s="24" customFormat="1" customHeight="1" spans="2:12">
      <c r="B6" s="37" t="s">
        <v>20</v>
      </c>
      <c r="C6" s="41" t="s">
        <v>21</v>
      </c>
      <c r="D6" s="40"/>
      <c r="E6" s="40"/>
      <c r="F6" s="40"/>
      <c r="G6" s="40"/>
      <c r="H6" s="40">
        <v>411.246414</v>
      </c>
      <c r="I6" s="40" t="s">
        <v>22</v>
      </c>
      <c r="J6" s="73">
        <v>5278.35</v>
      </c>
      <c r="K6" s="73">
        <v>779.119258859303</v>
      </c>
      <c r="L6" s="49"/>
    </row>
    <row r="7" s="24" customFormat="1" customHeight="1" spans="2:12">
      <c r="B7" s="37">
        <v>1</v>
      </c>
      <c r="C7" s="23" t="s">
        <v>23</v>
      </c>
      <c r="D7" s="42">
        <v>307.390308</v>
      </c>
      <c r="E7" s="43"/>
      <c r="F7" s="43"/>
      <c r="G7" s="44"/>
      <c r="H7" s="44">
        <v>307.390308</v>
      </c>
      <c r="I7" s="6" t="s">
        <v>22</v>
      </c>
      <c r="J7" s="72">
        <v>5278.35</v>
      </c>
      <c r="K7" s="21">
        <v>582.360601324277</v>
      </c>
      <c r="L7" s="49"/>
    </row>
    <row r="8" s="24" customFormat="1" customHeight="1" spans="2:12">
      <c r="B8" s="37">
        <v>2</v>
      </c>
      <c r="C8" s="23" t="s">
        <v>24</v>
      </c>
      <c r="D8" s="42">
        <v>21.096131</v>
      </c>
      <c r="E8" s="43"/>
      <c r="F8" s="43"/>
      <c r="G8" s="44"/>
      <c r="H8" s="44">
        <v>21.096131</v>
      </c>
      <c r="I8" s="6" t="s">
        <v>22</v>
      </c>
      <c r="J8" s="72">
        <v>5278.35</v>
      </c>
      <c r="K8" s="21">
        <v>39.9672833366488</v>
      </c>
      <c r="L8" s="49"/>
    </row>
    <row r="9" s="24" customFormat="1" customHeight="1" spans="2:12">
      <c r="B9" s="37">
        <v>3</v>
      </c>
      <c r="C9" s="23" t="s">
        <v>25</v>
      </c>
      <c r="D9" s="42">
        <v>2.418894</v>
      </c>
      <c r="E9" s="43"/>
      <c r="F9" s="43"/>
      <c r="G9" s="44"/>
      <c r="H9" s="44">
        <v>2.418894</v>
      </c>
      <c r="I9" s="6" t="s">
        <v>22</v>
      </c>
      <c r="J9" s="72">
        <v>5278.35</v>
      </c>
      <c r="K9" s="21">
        <v>4.58267072096394</v>
      </c>
      <c r="L9" s="49"/>
    </row>
    <row r="10" s="24" customFormat="1" customHeight="1" spans="2:12">
      <c r="B10" s="37">
        <v>4</v>
      </c>
      <c r="C10" s="23" t="s">
        <v>26</v>
      </c>
      <c r="D10" s="42">
        <v>80.341081</v>
      </c>
      <c r="E10" s="43"/>
      <c r="F10" s="43"/>
      <c r="G10" s="44"/>
      <c r="H10" s="44">
        <v>80.341081</v>
      </c>
      <c r="I10" s="6" t="s">
        <v>22</v>
      </c>
      <c r="J10" s="72">
        <v>5278.35</v>
      </c>
      <c r="K10" s="21">
        <v>152.208703477412</v>
      </c>
      <c r="L10" s="49"/>
    </row>
    <row r="11" s="24" customFormat="1" customHeight="1" spans="2:12">
      <c r="B11" s="37" t="s">
        <v>27</v>
      </c>
      <c r="C11" s="41" t="s">
        <v>28</v>
      </c>
      <c r="D11" s="40"/>
      <c r="E11" s="40"/>
      <c r="F11" s="40"/>
      <c r="G11" s="40"/>
      <c r="H11" s="40">
        <v>1770.690033</v>
      </c>
      <c r="I11" s="40" t="s">
        <v>22</v>
      </c>
      <c r="J11" s="73">
        <v>1093.32</v>
      </c>
      <c r="K11" s="73">
        <v>16195.533174185</v>
      </c>
      <c r="L11" s="49"/>
    </row>
    <row r="12" s="24" customFormat="1" customHeight="1" spans="2:12">
      <c r="B12" s="37">
        <v>1</v>
      </c>
      <c r="C12" s="5" t="s">
        <v>29</v>
      </c>
      <c r="D12" s="42">
        <v>247.386601</v>
      </c>
      <c r="E12" s="42"/>
      <c r="F12" s="42"/>
      <c r="G12" s="42"/>
      <c r="H12" s="44">
        <v>247.386601</v>
      </c>
      <c r="I12" s="6" t="s">
        <v>22</v>
      </c>
      <c r="J12" s="72">
        <v>257.32</v>
      </c>
      <c r="K12" s="21">
        <v>9613.96708378672</v>
      </c>
      <c r="L12" s="49"/>
    </row>
    <row r="13" s="24" customFormat="1" customHeight="1" spans="2:12">
      <c r="B13" s="37">
        <v>2</v>
      </c>
      <c r="C13" s="23" t="s">
        <v>30</v>
      </c>
      <c r="D13" s="42">
        <v>938.455697</v>
      </c>
      <c r="E13" s="43"/>
      <c r="F13" s="43"/>
      <c r="G13" s="43"/>
      <c r="H13" s="44">
        <v>938.455697</v>
      </c>
      <c r="I13" s="6" t="s">
        <v>22</v>
      </c>
      <c r="J13" s="72">
        <v>836</v>
      </c>
      <c r="K13" s="21">
        <v>11225.5466148325</v>
      </c>
      <c r="L13" s="49"/>
    </row>
    <row r="14" s="24" customFormat="1" customHeight="1" spans="2:12">
      <c r="B14" s="37">
        <v>3</v>
      </c>
      <c r="C14" s="23" t="s">
        <v>31</v>
      </c>
      <c r="D14" s="42">
        <v>253.508931</v>
      </c>
      <c r="E14" s="43"/>
      <c r="F14" s="43"/>
      <c r="G14" s="44"/>
      <c r="H14" s="44">
        <v>253.508931</v>
      </c>
      <c r="I14" s="6" t="s">
        <v>22</v>
      </c>
      <c r="J14" s="72">
        <v>1093.32</v>
      </c>
      <c r="K14" s="21">
        <v>2318.70752387224</v>
      </c>
      <c r="L14" s="49"/>
    </row>
    <row r="15" s="24" customFormat="1" customHeight="1" spans="2:12">
      <c r="B15" s="37">
        <v>4</v>
      </c>
      <c r="C15" s="23" t="s">
        <v>8</v>
      </c>
      <c r="D15" s="42">
        <v>331.338804</v>
      </c>
      <c r="E15" s="43"/>
      <c r="F15" s="43"/>
      <c r="G15" s="44"/>
      <c r="H15" s="44">
        <v>331.338804</v>
      </c>
      <c r="I15" s="6" t="s">
        <v>22</v>
      </c>
      <c r="J15" s="72">
        <v>1093.32</v>
      </c>
      <c r="K15" s="21">
        <v>3030.57479969268</v>
      </c>
      <c r="L15" s="49"/>
    </row>
    <row r="16" s="25" customFormat="1" customHeight="1" spans="2:12">
      <c r="B16" s="37"/>
      <c r="C16" s="23"/>
      <c r="D16" s="42"/>
      <c r="E16" s="43"/>
      <c r="F16" s="43"/>
      <c r="G16" s="44"/>
      <c r="H16" s="44"/>
      <c r="I16" s="6"/>
      <c r="J16" s="72"/>
      <c r="K16" s="21"/>
      <c r="L16" s="49"/>
    </row>
    <row r="17" customHeight="1" spans="2:12">
      <c r="B17" s="37"/>
      <c r="C17" s="216" t="s">
        <v>32</v>
      </c>
      <c r="D17" s="40">
        <v>2181.936447</v>
      </c>
      <c r="E17" s="40">
        <v>0</v>
      </c>
      <c r="F17" s="40">
        <v>0</v>
      </c>
      <c r="G17" s="40">
        <v>0</v>
      </c>
      <c r="H17" s="40">
        <v>2181.936447</v>
      </c>
      <c r="I17" s="49"/>
      <c r="J17" s="72"/>
      <c r="K17" s="72"/>
      <c r="L17" s="49"/>
    </row>
    <row r="18" customHeight="1" spans="2:12">
      <c r="B18" s="37"/>
      <c r="C18" s="45" t="s">
        <v>33</v>
      </c>
      <c r="D18" s="46">
        <v>0</v>
      </c>
      <c r="E18" s="46">
        <v>0</v>
      </c>
      <c r="F18" s="46">
        <v>0</v>
      </c>
      <c r="G18" s="46">
        <v>1633.05284586356</v>
      </c>
      <c r="H18" s="40">
        <v>1633.05284586356</v>
      </c>
      <c r="I18" s="6"/>
      <c r="J18" s="21"/>
      <c r="K18" s="21"/>
      <c r="L18" s="6"/>
    </row>
    <row r="19" customHeight="1" spans="2:12">
      <c r="B19" s="37">
        <v>1</v>
      </c>
      <c r="C19" s="47" t="s">
        <v>34</v>
      </c>
      <c r="D19" s="48"/>
      <c r="E19" s="48"/>
      <c r="F19" s="48"/>
      <c r="G19" s="48"/>
      <c r="H19" s="49">
        <v>1123.09</v>
      </c>
      <c r="I19" s="47"/>
      <c r="J19" s="21"/>
      <c r="K19" s="21"/>
      <c r="L19" s="74"/>
    </row>
    <row r="20" customHeight="1" spans="2:12">
      <c r="B20" s="37">
        <v>-1</v>
      </c>
      <c r="C20" s="47" t="s">
        <v>35</v>
      </c>
      <c r="D20" s="6"/>
      <c r="E20" s="6"/>
      <c r="F20" s="6"/>
      <c r="G20" s="48">
        <v>1123.09</v>
      </c>
      <c r="H20" s="49">
        <v>1123.09</v>
      </c>
      <c r="I20" s="47" t="s">
        <v>36</v>
      </c>
      <c r="J20" s="21"/>
      <c r="K20" s="21"/>
      <c r="L20" s="47"/>
    </row>
    <row r="21" customHeight="1" spans="2:12">
      <c r="B21" s="37">
        <v>2</v>
      </c>
      <c r="C21" s="47" t="s">
        <v>37</v>
      </c>
      <c r="D21" s="48"/>
      <c r="E21" s="48"/>
      <c r="F21" s="48"/>
      <c r="G21" s="48">
        <v>46.696959470543</v>
      </c>
      <c r="H21" s="49">
        <v>46.696959470543</v>
      </c>
      <c r="I21" s="47" t="s">
        <v>38</v>
      </c>
      <c r="J21" s="21"/>
      <c r="K21" s="21"/>
      <c r="L21" s="6"/>
    </row>
    <row r="22" customHeight="1" spans="2:12">
      <c r="B22" s="37">
        <v>3</v>
      </c>
      <c r="C22" s="217" t="s">
        <v>39</v>
      </c>
      <c r="D22" s="48"/>
      <c r="E22" s="48"/>
      <c r="F22" s="48"/>
      <c r="G22" s="48">
        <v>58.466474728</v>
      </c>
      <c r="H22" s="49">
        <v>58.466474728</v>
      </c>
      <c r="I22" s="47" t="s">
        <v>40</v>
      </c>
      <c r="J22" s="21"/>
      <c r="K22" s="21"/>
      <c r="L22" s="47"/>
    </row>
    <row r="23" customHeight="1" spans="2:12">
      <c r="B23" s="37">
        <v>4</v>
      </c>
      <c r="C23" s="47" t="s">
        <v>41</v>
      </c>
      <c r="D23" s="6"/>
      <c r="E23" s="6"/>
      <c r="F23" s="6"/>
      <c r="G23" s="48"/>
      <c r="H23" s="49">
        <v>18.6691042866</v>
      </c>
      <c r="I23" s="47"/>
      <c r="J23" s="21"/>
      <c r="K23" s="21"/>
      <c r="L23" s="47"/>
    </row>
    <row r="24" customHeight="1" spans="2:12">
      <c r="B24" s="37">
        <v>-1</v>
      </c>
      <c r="C24" s="47" t="s">
        <v>42</v>
      </c>
      <c r="D24" s="6"/>
      <c r="E24" s="6"/>
      <c r="F24" s="6"/>
      <c r="G24" s="48">
        <v>9.527745788</v>
      </c>
      <c r="H24" s="49">
        <v>9.527745788</v>
      </c>
      <c r="I24" s="47" t="s">
        <v>43</v>
      </c>
      <c r="J24" s="21"/>
      <c r="K24" s="21"/>
      <c r="L24" s="47"/>
    </row>
    <row r="25" customHeight="1" spans="2:12">
      <c r="B25" s="37">
        <v>-2</v>
      </c>
      <c r="C25" s="47" t="s">
        <v>44</v>
      </c>
      <c r="D25" s="6"/>
      <c r="E25" s="6"/>
      <c r="F25" s="6"/>
      <c r="G25" s="48">
        <v>9.1413584986</v>
      </c>
      <c r="H25" s="49">
        <v>9.1413584986</v>
      </c>
      <c r="I25" s="47" t="s">
        <v>43</v>
      </c>
      <c r="J25" s="21"/>
      <c r="K25" s="21"/>
      <c r="L25" s="47"/>
    </row>
    <row r="26" hidden="1" customHeight="1" spans="2:12">
      <c r="B26" s="37">
        <v>-3</v>
      </c>
      <c r="C26" s="47" t="s">
        <v>45</v>
      </c>
      <c r="D26" s="6"/>
      <c r="E26" s="6"/>
      <c r="F26" s="6"/>
      <c r="G26" s="48">
        <v>0</v>
      </c>
      <c r="H26" s="49">
        <v>0</v>
      </c>
      <c r="I26" s="47" t="s">
        <v>43</v>
      </c>
      <c r="J26" s="21"/>
      <c r="K26" s="21"/>
      <c r="L26" s="47"/>
    </row>
    <row r="27" customHeight="1" spans="2:12">
      <c r="B27" s="37">
        <v>5</v>
      </c>
      <c r="C27" s="47" t="s">
        <v>46</v>
      </c>
      <c r="D27" s="48"/>
      <c r="E27" s="48"/>
      <c r="F27" s="48"/>
      <c r="G27" s="48"/>
      <c r="H27" s="49">
        <v>5.6</v>
      </c>
      <c r="I27" s="47"/>
      <c r="J27" s="21"/>
      <c r="K27" s="21"/>
      <c r="L27" s="47"/>
    </row>
    <row r="28" customHeight="1" spans="2:12">
      <c r="B28" s="37">
        <v>-1</v>
      </c>
      <c r="C28" s="47" t="s">
        <v>47</v>
      </c>
      <c r="D28" s="48"/>
      <c r="E28" s="48"/>
      <c r="F28" s="48"/>
      <c r="G28" s="48">
        <v>5.6</v>
      </c>
      <c r="H28" s="49">
        <v>5.6</v>
      </c>
      <c r="I28" s="47" t="s">
        <v>48</v>
      </c>
      <c r="J28" s="21"/>
      <c r="K28" s="21"/>
      <c r="L28" s="47"/>
    </row>
    <row r="29" customHeight="1" spans="2:12">
      <c r="B29" s="37">
        <v>6</v>
      </c>
      <c r="C29" s="47" t="s">
        <v>49</v>
      </c>
      <c r="D29" s="6"/>
      <c r="E29" s="6"/>
      <c r="F29" s="6"/>
      <c r="G29" s="48">
        <v>6.46920633900333</v>
      </c>
      <c r="H29" s="49">
        <v>6.46920633900333</v>
      </c>
      <c r="I29" s="47" t="s">
        <v>50</v>
      </c>
      <c r="J29" s="21"/>
      <c r="K29" s="21"/>
      <c r="L29" s="47"/>
    </row>
    <row r="30" customHeight="1" spans="2:12">
      <c r="B30" s="37">
        <v>7</v>
      </c>
      <c r="C30" s="47" t="s">
        <v>51</v>
      </c>
      <c r="D30" s="6"/>
      <c r="E30" s="6"/>
      <c r="F30" s="6"/>
      <c r="G30" s="48"/>
      <c r="H30" s="49">
        <v>15.2306056567348</v>
      </c>
      <c r="I30" s="47"/>
      <c r="J30" s="21"/>
      <c r="K30" s="21"/>
      <c r="L30" s="47"/>
    </row>
    <row r="31" s="26" customFormat="1" customHeight="1" spans="2:12">
      <c r="B31" s="37">
        <v>-1</v>
      </c>
      <c r="C31" s="47" t="s">
        <v>52</v>
      </c>
      <c r="D31" s="6"/>
      <c r="E31" s="6"/>
      <c r="F31" s="6"/>
      <c r="G31" s="48">
        <v>6.20297695144152</v>
      </c>
      <c r="H31" s="49">
        <v>6.20297695144152</v>
      </c>
      <c r="I31" s="47" t="s">
        <v>53</v>
      </c>
      <c r="J31" s="21"/>
      <c r="K31" s="21"/>
      <c r="L31" s="47"/>
    </row>
    <row r="32" customHeight="1" spans="2:12">
      <c r="B32" s="37">
        <v>-2</v>
      </c>
      <c r="C32" s="47" t="s">
        <v>54</v>
      </c>
      <c r="D32" s="6"/>
      <c r="E32" s="6"/>
      <c r="F32" s="6"/>
      <c r="G32" s="48">
        <v>6.20297695144152</v>
      </c>
      <c r="H32" s="49">
        <v>6.20297695144152</v>
      </c>
      <c r="I32" s="47" t="s">
        <v>53</v>
      </c>
      <c r="J32" s="21"/>
      <c r="K32" s="21"/>
      <c r="L32" s="47"/>
    </row>
    <row r="33" customHeight="1" spans="2:12">
      <c r="B33" s="37">
        <v>-3</v>
      </c>
      <c r="C33" s="50" t="s">
        <v>55</v>
      </c>
      <c r="D33" s="6"/>
      <c r="E33" s="6"/>
      <c r="F33" s="6"/>
      <c r="G33" s="48">
        <v>0.75699277003797</v>
      </c>
      <c r="H33" s="49">
        <v>0.75699277003797</v>
      </c>
      <c r="I33" s="47" t="s">
        <v>53</v>
      </c>
      <c r="J33" s="21"/>
      <c r="K33" s="21"/>
      <c r="L33" s="47"/>
    </row>
    <row r="34" customHeight="1" spans="2:12">
      <c r="B34" s="37">
        <v>-4</v>
      </c>
      <c r="C34" s="47" t="s">
        <v>56</v>
      </c>
      <c r="D34" s="6"/>
      <c r="E34" s="6"/>
      <c r="F34" s="6"/>
      <c r="G34" s="48">
        <v>2.06765898381384</v>
      </c>
      <c r="H34" s="49">
        <v>2.06765898381384</v>
      </c>
      <c r="I34" s="47" t="s">
        <v>53</v>
      </c>
      <c r="J34" s="21"/>
      <c r="K34" s="21"/>
      <c r="L34" s="47"/>
    </row>
    <row r="35" customHeight="1" spans="2:12">
      <c r="B35" s="37">
        <v>8</v>
      </c>
      <c r="C35" s="51" t="s">
        <v>57</v>
      </c>
      <c r="D35" s="52"/>
      <c r="E35" s="52"/>
      <c r="F35" s="52"/>
      <c r="G35" s="53">
        <v>0.76</v>
      </c>
      <c r="H35" s="54">
        <v>0.76</v>
      </c>
      <c r="I35" s="89" t="s">
        <v>58</v>
      </c>
      <c r="J35" s="90"/>
      <c r="K35" s="75"/>
      <c r="L35" s="76"/>
    </row>
    <row r="36" customHeight="1" spans="2:12">
      <c r="B36" s="37">
        <v>9</v>
      </c>
      <c r="C36" s="47" t="s">
        <v>59</v>
      </c>
      <c r="D36" s="6"/>
      <c r="E36" s="6"/>
      <c r="F36" s="6"/>
      <c r="G36" s="48">
        <v>12.8137973021825</v>
      </c>
      <c r="H36" s="49">
        <v>12.8137973021825</v>
      </c>
      <c r="I36" s="91" t="s">
        <v>60</v>
      </c>
      <c r="J36" s="78"/>
      <c r="K36" s="21"/>
      <c r="L36" s="47"/>
    </row>
    <row r="37" customHeight="1" spans="2:12">
      <c r="B37" s="37">
        <v>10</v>
      </c>
      <c r="C37" s="12" t="s">
        <v>61</v>
      </c>
      <c r="D37" s="6"/>
      <c r="E37" s="6"/>
      <c r="F37" s="6"/>
      <c r="G37" s="48"/>
      <c r="H37" s="49">
        <v>99.69936447</v>
      </c>
      <c r="I37" s="77"/>
      <c r="J37" s="78"/>
      <c r="K37" s="21"/>
      <c r="L37" s="47"/>
    </row>
    <row r="38" customHeight="1" spans="2:12">
      <c r="B38" s="37">
        <v>-1</v>
      </c>
      <c r="C38" s="12" t="s">
        <v>62</v>
      </c>
      <c r="D38" s="48"/>
      <c r="E38" s="48"/>
      <c r="F38" s="48"/>
      <c r="G38" s="55">
        <v>5.4548411175</v>
      </c>
      <c r="H38" s="49">
        <v>5.4548411175</v>
      </c>
      <c r="I38" s="47" t="s">
        <v>63</v>
      </c>
      <c r="J38" s="21"/>
      <c r="K38" s="21"/>
      <c r="L38" s="47"/>
    </row>
    <row r="39" customHeight="1" spans="2:12">
      <c r="B39" s="37">
        <v>-2</v>
      </c>
      <c r="C39" s="12" t="s">
        <v>64</v>
      </c>
      <c r="D39" s="48"/>
      <c r="E39" s="48"/>
      <c r="F39" s="48"/>
      <c r="G39" s="55">
        <v>16.3645233525</v>
      </c>
      <c r="H39" s="49">
        <v>16.3645233525</v>
      </c>
      <c r="I39" s="47" t="s">
        <v>65</v>
      </c>
      <c r="J39" s="21"/>
      <c r="K39" s="21"/>
      <c r="L39" s="47"/>
    </row>
    <row r="40" s="27" customFormat="1" ht="23.25" customHeight="1" spans="2:12">
      <c r="B40" s="37">
        <v>-3</v>
      </c>
      <c r="C40" s="12" t="s">
        <v>66</v>
      </c>
      <c r="D40" s="6"/>
      <c r="E40" s="6"/>
      <c r="F40" s="6"/>
      <c r="G40" s="55">
        <v>77.88</v>
      </c>
      <c r="H40" s="49">
        <v>77.88</v>
      </c>
      <c r="I40" s="47" t="s">
        <v>48</v>
      </c>
      <c r="J40" s="21"/>
      <c r="K40" s="21"/>
      <c r="L40" s="47"/>
    </row>
    <row r="41" s="28" customFormat="1" customHeight="1" spans="2:12">
      <c r="B41" s="37">
        <v>11</v>
      </c>
      <c r="C41" s="47" t="s">
        <v>68</v>
      </c>
      <c r="D41" s="6"/>
      <c r="E41" s="6"/>
      <c r="F41" s="6"/>
      <c r="G41" s="48">
        <v>5.0622</v>
      </c>
      <c r="H41" s="49">
        <v>5.0622</v>
      </c>
      <c r="I41" s="47" t="s">
        <v>69</v>
      </c>
      <c r="J41" s="21"/>
      <c r="K41" s="21"/>
      <c r="L41" s="47"/>
    </row>
    <row r="42" s="28" customFormat="1" customHeight="1" spans="2:12">
      <c r="B42" s="37">
        <v>12</v>
      </c>
      <c r="C42" s="47" t="s">
        <v>70</v>
      </c>
      <c r="D42" s="48"/>
      <c r="E42" s="48"/>
      <c r="F42" s="48"/>
      <c r="G42" s="48">
        <v>21.81936447</v>
      </c>
      <c r="H42" s="49">
        <v>21.81936447</v>
      </c>
      <c r="I42" s="47" t="s">
        <v>71</v>
      </c>
      <c r="J42" s="21"/>
      <c r="K42" s="21"/>
      <c r="L42" s="47"/>
    </row>
    <row r="43" s="28" customFormat="1" customHeight="1" spans="2:12">
      <c r="B43" s="37">
        <v>13</v>
      </c>
      <c r="C43" s="47" t="s">
        <v>72</v>
      </c>
      <c r="D43" s="48"/>
      <c r="E43" s="48"/>
      <c r="F43" s="48"/>
      <c r="G43" s="48">
        <v>9.8187140115</v>
      </c>
      <c r="H43" s="49">
        <v>9.8187140115</v>
      </c>
      <c r="I43" s="47" t="s">
        <v>73</v>
      </c>
      <c r="J43" s="21"/>
      <c r="K43" s="21"/>
      <c r="L43" s="47"/>
    </row>
    <row r="44" s="28" customFormat="1" customHeight="1" spans="2:12">
      <c r="B44" s="37">
        <v>14</v>
      </c>
      <c r="C44" s="47" t="s">
        <v>74</v>
      </c>
      <c r="D44" s="48"/>
      <c r="E44" s="48"/>
      <c r="F44" s="48"/>
      <c r="G44" s="48">
        <v>15.273555129</v>
      </c>
      <c r="H44" s="49">
        <v>15.273555129</v>
      </c>
      <c r="I44" s="47" t="s">
        <v>75</v>
      </c>
      <c r="J44" s="21"/>
      <c r="K44" s="21"/>
      <c r="L44" s="47"/>
    </row>
    <row r="45" s="28" customFormat="1" customHeight="1" spans="2:12">
      <c r="B45" s="37">
        <v>15</v>
      </c>
      <c r="C45" s="87" t="s">
        <v>76</v>
      </c>
      <c r="D45" s="48"/>
      <c r="E45" s="48"/>
      <c r="F45" s="48"/>
      <c r="G45" s="48">
        <v>5.8215</v>
      </c>
      <c r="H45" s="49">
        <v>5.8215</v>
      </c>
      <c r="I45" s="47" t="s">
        <v>77</v>
      </c>
      <c r="J45" s="21"/>
      <c r="K45" s="21"/>
      <c r="L45" s="47"/>
    </row>
    <row r="46" s="28" customFormat="1" customHeight="1" spans="2:12">
      <c r="B46" s="37">
        <v>16</v>
      </c>
      <c r="C46" s="87" t="s">
        <v>78</v>
      </c>
      <c r="D46" s="48"/>
      <c r="E46" s="48"/>
      <c r="F46" s="48"/>
      <c r="G46" s="48">
        <v>7.762</v>
      </c>
      <c r="H46" s="49">
        <v>7.762</v>
      </c>
      <c r="I46" s="47" t="s">
        <v>77</v>
      </c>
      <c r="J46" s="21"/>
      <c r="K46" s="21"/>
      <c r="L46" s="47"/>
    </row>
    <row r="47" s="29" customFormat="1" customHeight="1" spans="2:12">
      <c r="B47" s="37">
        <v>17</v>
      </c>
      <c r="C47" s="57" t="s">
        <v>79</v>
      </c>
      <c r="D47" s="59"/>
      <c r="E47" s="59"/>
      <c r="F47" s="59"/>
      <c r="G47" s="88">
        <v>10</v>
      </c>
      <c r="H47" s="58">
        <v>10</v>
      </c>
      <c r="I47" s="57" t="s">
        <v>36</v>
      </c>
      <c r="J47" s="79"/>
      <c r="K47" s="80"/>
      <c r="L47" s="81"/>
    </row>
    <row r="48" s="29" customFormat="1" customHeight="1" spans="2:12">
      <c r="B48" s="37">
        <v>18</v>
      </c>
      <c r="C48" s="57" t="s">
        <v>80</v>
      </c>
      <c r="D48" s="59"/>
      <c r="E48" s="59"/>
      <c r="F48" s="59"/>
      <c r="G48" s="88">
        <v>10</v>
      </c>
      <c r="H48" s="58">
        <v>10</v>
      </c>
      <c r="I48" s="57" t="s">
        <v>36</v>
      </c>
      <c r="J48" s="79"/>
      <c r="K48" s="80"/>
      <c r="L48" s="81"/>
    </row>
    <row r="49" s="29" customFormat="1" customHeight="1" spans="2:12">
      <c r="B49" s="37">
        <v>19</v>
      </c>
      <c r="C49" s="60" t="s">
        <v>81</v>
      </c>
      <c r="D49" s="59"/>
      <c r="E49" s="59"/>
      <c r="F49" s="59"/>
      <c r="G49" s="88">
        <v>20</v>
      </c>
      <c r="H49" s="58">
        <v>20</v>
      </c>
      <c r="I49" s="57" t="s">
        <v>36</v>
      </c>
      <c r="J49" s="79"/>
      <c r="K49" s="80"/>
      <c r="L49" s="81"/>
    </row>
    <row r="50" s="29" customFormat="1" customHeight="1" spans="2:12">
      <c r="B50" s="37">
        <v>20</v>
      </c>
      <c r="C50" s="60" t="s">
        <v>82</v>
      </c>
      <c r="D50" s="59"/>
      <c r="E50" s="59"/>
      <c r="F50" s="59"/>
      <c r="G50" s="88">
        <v>10</v>
      </c>
      <c r="H50" s="58">
        <v>10</v>
      </c>
      <c r="I50" s="57" t="s">
        <v>36</v>
      </c>
      <c r="J50" s="79"/>
      <c r="K50" s="80"/>
      <c r="L50" s="81"/>
    </row>
    <row r="51" s="29" customFormat="1" customHeight="1" spans="2:12">
      <c r="B51" s="37">
        <v>21</v>
      </c>
      <c r="C51" s="60" t="s">
        <v>83</v>
      </c>
      <c r="D51" s="59"/>
      <c r="E51" s="59"/>
      <c r="F51" s="59"/>
      <c r="G51" s="88">
        <v>30</v>
      </c>
      <c r="H51" s="58">
        <v>30</v>
      </c>
      <c r="I51" s="57" t="s">
        <v>36</v>
      </c>
      <c r="J51" s="79"/>
      <c r="K51" s="80"/>
      <c r="L51" s="81"/>
    </row>
    <row r="52" s="29" customFormat="1" customHeight="1" spans="2:12">
      <c r="B52" s="37">
        <v>22</v>
      </c>
      <c r="C52" s="61" t="s">
        <v>84</v>
      </c>
      <c r="D52" s="62"/>
      <c r="E52" s="62"/>
      <c r="F52" s="62"/>
      <c r="G52" s="88">
        <v>50</v>
      </c>
      <c r="H52" s="58">
        <v>50</v>
      </c>
      <c r="I52" s="57" t="s">
        <v>36</v>
      </c>
      <c r="J52" s="82"/>
      <c r="K52" s="83"/>
      <c r="L52" s="81"/>
    </row>
    <row r="53" s="29" customFormat="1" customHeight="1" spans="2:12">
      <c r="B53" s="37">
        <v>23</v>
      </c>
      <c r="C53" s="63" t="s">
        <v>85</v>
      </c>
      <c r="D53" s="64"/>
      <c r="E53" s="64"/>
      <c r="F53" s="64"/>
      <c r="G53" s="88">
        <v>15</v>
      </c>
      <c r="H53" s="58">
        <v>15</v>
      </c>
      <c r="I53" s="57" t="s">
        <v>36</v>
      </c>
      <c r="J53" s="79"/>
      <c r="K53" s="80"/>
      <c r="L53" s="81"/>
    </row>
    <row r="54" s="29" customFormat="1" customHeight="1" spans="2:12">
      <c r="B54" s="37">
        <v>24</v>
      </c>
      <c r="C54" s="63" t="s">
        <v>86</v>
      </c>
      <c r="D54" s="64"/>
      <c r="E54" s="64"/>
      <c r="F54" s="64"/>
      <c r="G54" s="88">
        <v>10</v>
      </c>
      <c r="H54" s="58">
        <v>10</v>
      </c>
      <c r="I54" s="57" t="s">
        <v>36</v>
      </c>
      <c r="J54" s="79"/>
      <c r="K54" s="80"/>
      <c r="L54" s="81"/>
    </row>
    <row r="55" s="29" customFormat="1" customHeight="1" spans="2:12">
      <c r="B55" s="37">
        <v>25</v>
      </c>
      <c r="C55" s="63" t="s">
        <v>87</v>
      </c>
      <c r="D55" s="64"/>
      <c r="E55" s="64"/>
      <c r="F55" s="64"/>
      <c r="G55" s="88">
        <v>20</v>
      </c>
      <c r="H55" s="58">
        <v>20</v>
      </c>
      <c r="I55" s="57" t="s">
        <v>36</v>
      </c>
      <c r="J55" s="79"/>
      <c r="K55" s="80"/>
      <c r="L55" s="81"/>
    </row>
    <row r="56" s="29" customFormat="1" customHeight="1" spans="2:12">
      <c r="B56" s="37">
        <v>26</v>
      </c>
      <c r="C56" s="63" t="s">
        <v>88</v>
      </c>
      <c r="D56" s="64"/>
      <c r="E56" s="64"/>
      <c r="F56" s="64"/>
      <c r="G56" s="88">
        <v>5</v>
      </c>
      <c r="H56" s="58">
        <v>5</v>
      </c>
      <c r="I56" s="57" t="s">
        <v>36</v>
      </c>
      <c r="J56" s="79"/>
      <c r="K56" s="80"/>
      <c r="L56" s="81"/>
    </row>
    <row r="57" customHeight="1" spans="2:12">
      <c r="B57" s="37"/>
      <c r="C57" s="47"/>
      <c r="D57" s="6"/>
      <c r="E57" s="6"/>
      <c r="F57" s="6"/>
      <c r="G57" s="48"/>
      <c r="H57" s="48"/>
      <c r="I57" s="6"/>
      <c r="J57" s="21"/>
      <c r="K57" s="21"/>
      <c r="L57" s="6"/>
    </row>
    <row r="58" customHeight="1" spans="2:12">
      <c r="B58" s="37"/>
      <c r="C58" s="216" t="s">
        <v>89</v>
      </c>
      <c r="D58" s="40"/>
      <c r="E58" s="40"/>
      <c r="F58" s="40"/>
      <c r="G58" s="40">
        <v>1633.05284586356</v>
      </c>
      <c r="H58" s="40">
        <v>1633.05284586356</v>
      </c>
      <c r="I58" s="49"/>
      <c r="J58" s="72"/>
      <c r="K58" s="72"/>
      <c r="L58" s="49"/>
    </row>
    <row r="59" customHeight="1" spans="2:12">
      <c r="B59" s="37"/>
      <c r="C59" s="218" t="s">
        <v>90</v>
      </c>
      <c r="D59" s="46">
        <v>2181.936447</v>
      </c>
      <c r="E59" s="46">
        <v>0</v>
      </c>
      <c r="F59" s="46">
        <v>0</v>
      </c>
      <c r="G59" s="46">
        <v>1633.05284586356</v>
      </c>
      <c r="H59" s="40">
        <v>3814.98929286356</v>
      </c>
      <c r="I59" s="6"/>
      <c r="J59" s="21"/>
      <c r="K59" s="21"/>
      <c r="L59" s="6"/>
    </row>
    <row r="60" customHeight="1" spans="2:12">
      <c r="B60" s="37"/>
      <c r="C60" s="45" t="s">
        <v>91</v>
      </c>
      <c r="D60" s="6"/>
      <c r="E60" s="6"/>
      <c r="F60" s="6"/>
      <c r="G60" s="46">
        <v>134.594964643178</v>
      </c>
      <c r="H60" s="40">
        <v>134.594964643178</v>
      </c>
      <c r="I60" s="6"/>
      <c r="J60" s="21"/>
      <c r="K60" s="21"/>
      <c r="L60" s="6"/>
    </row>
    <row r="61" customHeight="1" spans="2:12">
      <c r="B61" s="37"/>
      <c r="C61" s="47" t="s">
        <v>194</v>
      </c>
      <c r="D61" s="6"/>
      <c r="E61" s="6"/>
      <c r="F61" s="6"/>
      <c r="G61" s="65">
        <v>134.594964643178</v>
      </c>
      <c r="H61" s="48">
        <v>134.594964643178</v>
      </c>
      <c r="I61" s="6"/>
      <c r="J61" s="21"/>
      <c r="K61" s="21"/>
      <c r="L61" s="6"/>
    </row>
    <row r="62" customHeight="1" spans="2:12">
      <c r="B62" s="37"/>
      <c r="C62" s="45"/>
      <c r="D62" s="6"/>
      <c r="E62" s="6"/>
      <c r="F62" s="6"/>
      <c r="G62" s="6"/>
      <c r="H62" s="6"/>
      <c r="I62" s="6"/>
      <c r="J62" s="21"/>
      <c r="K62" s="21"/>
      <c r="L62" s="6"/>
    </row>
    <row r="63" customHeight="1" spans="2:12">
      <c r="B63" s="37"/>
      <c r="C63" s="218" t="s">
        <v>92</v>
      </c>
      <c r="D63" s="46">
        <v>2181.936447</v>
      </c>
      <c r="E63" s="46">
        <v>0</v>
      </c>
      <c r="F63" s="46">
        <v>0</v>
      </c>
      <c r="G63" s="46">
        <v>1767.64781050674</v>
      </c>
      <c r="H63" s="40">
        <v>3949.58425750674</v>
      </c>
      <c r="I63" s="6"/>
      <c r="J63" s="21"/>
      <c r="K63" s="21"/>
      <c r="L63" s="6"/>
    </row>
    <row r="64" customHeight="1" spans="2:12">
      <c r="B64" s="37"/>
      <c r="C64" s="45"/>
      <c r="D64" s="6"/>
      <c r="E64" s="6"/>
      <c r="F64" s="6"/>
      <c r="G64" s="6"/>
      <c r="H64" s="6"/>
      <c r="I64" s="6"/>
      <c r="J64" s="21"/>
      <c r="K64" s="21"/>
      <c r="L64" s="6"/>
    </row>
    <row r="65" customHeight="1" spans="2:12">
      <c r="B65" s="86"/>
      <c r="C65" s="45" t="s">
        <v>93</v>
      </c>
      <c r="D65" s="46">
        <v>2181.936447</v>
      </c>
      <c r="E65" s="46">
        <v>0</v>
      </c>
      <c r="F65" s="46">
        <v>0</v>
      </c>
      <c r="G65" s="46">
        <v>1767.64781050674</v>
      </c>
      <c r="H65" s="40">
        <v>3949.58425750674</v>
      </c>
      <c r="I65" s="6"/>
      <c r="J65" s="21"/>
      <c r="K65" s="21"/>
      <c r="L65" s="6"/>
    </row>
    <row r="66" customHeight="1" spans="2:12">
      <c r="B66" s="37"/>
      <c r="C66" s="47"/>
      <c r="D66" s="6"/>
      <c r="E66" s="6"/>
      <c r="F66" s="6"/>
      <c r="G66" s="6"/>
      <c r="H66" s="48"/>
      <c r="I66" s="6"/>
      <c r="J66" s="21"/>
      <c r="K66" s="21"/>
      <c r="L66" s="6"/>
    </row>
  </sheetData>
  <autoFilter ref="C3:C66">
    <extLst/>
  </autoFilter>
  <mergeCells count="7">
    <mergeCell ref="B1:L1"/>
    <mergeCell ref="D3:H3"/>
    <mergeCell ref="I3:K3"/>
    <mergeCell ref="I35:J35"/>
    <mergeCell ref="B3:B4"/>
    <mergeCell ref="C3:C4"/>
    <mergeCell ref="L3:L4"/>
  </mergeCells>
  <conditionalFormatting sqref="H5">
    <cfRule type="cellIs" dxfId="0" priority="6" operator="notEqual">
      <formula>SUM($D$5:$G$5)</formula>
    </cfRule>
  </conditionalFormatting>
  <printOptions horizontalCentered="1"/>
  <pageMargins left="0.707638888888889" right="0.590277777777778" top="0.984027777777778" bottom="0.786805555555556" header="0.313888888888889" footer="0.313888888888889"/>
  <pageSetup paperSize="9" orientation="landscape" blackAndWhite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L66"/>
  <sheetViews>
    <sheetView showGridLines="0" showZeros="0" topLeftCell="B1" workbookViewId="0">
      <pane xSplit="1" ySplit="5" topLeftCell="C6" activePane="bottomRight" state="frozen"/>
      <selection/>
      <selection pane="topRight"/>
      <selection pane="bottomLeft"/>
      <selection pane="bottomRight" activeCell="H15" sqref="H15"/>
    </sheetView>
  </sheetViews>
  <sheetFormatPr defaultColWidth="9" defaultRowHeight="18" customHeight="1"/>
  <cols>
    <col min="1" max="1" width="9" style="30"/>
    <col min="2" max="2" width="5.50833333333333" style="31" customWidth="1"/>
    <col min="3" max="3" width="32.5083333333333" style="30" customWidth="1"/>
    <col min="4" max="4" width="10.1333333333333" style="30" customWidth="1"/>
    <col min="5" max="5" width="8.50833333333333" style="30" customWidth="1"/>
    <col min="6" max="6" width="9.13333333333333" style="30" customWidth="1"/>
    <col min="7" max="8" width="9.88333333333333" style="30" customWidth="1"/>
    <col min="9" max="9" width="7.38333333333333" style="30" customWidth="1"/>
    <col min="10" max="10" width="8.88333333333333" style="32" customWidth="1"/>
    <col min="11" max="11" width="10.3833333333333" style="32" customWidth="1"/>
    <col min="12" max="12" width="18.6333333333333" style="30" customWidth="1"/>
    <col min="13" max="16384" width="9" style="30"/>
  </cols>
  <sheetData>
    <row r="1" s="24" customFormat="1" ht="27" customHeight="1" spans="2:12">
      <c r="B1" s="33" t="s">
        <v>0</v>
      </c>
      <c r="C1" s="34"/>
      <c r="D1" s="34"/>
      <c r="E1" s="34"/>
      <c r="F1" s="34"/>
      <c r="G1" s="34"/>
      <c r="H1" s="34"/>
      <c r="I1" s="66"/>
      <c r="J1" s="67"/>
      <c r="K1" s="68"/>
      <c r="L1" s="69"/>
    </row>
    <row r="2" s="24" customFormat="1" customHeight="1" spans="2:11">
      <c r="B2" s="215" t="s">
        <v>1</v>
      </c>
      <c r="C2" s="36"/>
      <c r="D2" s="36"/>
      <c r="E2" s="36"/>
      <c r="F2" s="36"/>
      <c r="G2" s="36"/>
      <c r="H2" s="36"/>
      <c r="I2" s="36"/>
      <c r="J2" s="70"/>
      <c r="K2" s="70"/>
    </row>
    <row r="3" s="24" customFormat="1" ht="20.25" customHeight="1" spans="2:12">
      <c r="B3" s="37" t="s">
        <v>2</v>
      </c>
      <c r="C3" s="6" t="s">
        <v>3</v>
      </c>
      <c r="D3" s="6" t="s">
        <v>4</v>
      </c>
      <c r="E3" s="6"/>
      <c r="F3" s="6"/>
      <c r="G3" s="6"/>
      <c r="H3" s="6"/>
      <c r="I3" s="6" t="s">
        <v>5</v>
      </c>
      <c r="J3" s="21"/>
      <c r="K3" s="21"/>
      <c r="L3" s="6" t="s">
        <v>6</v>
      </c>
    </row>
    <row r="4" s="24" customFormat="1" ht="25.5" customHeight="1" spans="2:12">
      <c r="B4" s="37"/>
      <c r="C4" s="6"/>
      <c r="D4" s="38" t="s">
        <v>8</v>
      </c>
      <c r="E4" s="38" t="s">
        <v>9</v>
      </c>
      <c r="F4" s="38" t="s">
        <v>10</v>
      </c>
      <c r="G4" s="38" t="s">
        <v>11</v>
      </c>
      <c r="H4" s="38" t="s">
        <v>12</v>
      </c>
      <c r="I4" s="38" t="s">
        <v>13</v>
      </c>
      <c r="J4" s="71" t="s">
        <v>14</v>
      </c>
      <c r="K4" s="71" t="s">
        <v>15</v>
      </c>
      <c r="L4" s="6"/>
    </row>
    <row r="5" s="24" customFormat="1" customHeight="1" spans="2:12">
      <c r="B5" s="37"/>
      <c r="C5" s="39" t="s">
        <v>19</v>
      </c>
      <c r="D5" s="40">
        <v>2172.969425</v>
      </c>
      <c r="E5" s="40">
        <v>0</v>
      </c>
      <c r="F5" s="40">
        <v>0</v>
      </c>
      <c r="G5" s="40">
        <v>0</v>
      </c>
      <c r="H5" s="40">
        <v>2172.969425</v>
      </c>
      <c r="I5" s="49"/>
      <c r="J5" s="72"/>
      <c r="K5" s="72"/>
      <c r="L5" s="49"/>
    </row>
    <row r="6" s="24" customFormat="1" customHeight="1" spans="2:12">
      <c r="B6" s="37" t="s">
        <v>20</v>
      </c>
      <c r="C6" s="41" t="s">
        <v>21</v>
      </c>
      <c r="D6" s="40"/>
      <c r="E6" s="40"/>
      <c r="F6" s="40"/>
      <c r="G6" s="40"/>
      <c r="H6" s="40">
        <v>336.211851</v>
      </c>
      <c r="I6" s="40" t="s">
        <v>22</v>
      </c>
      <c r="J6" s="73">
        <v>5278.35</v>
      </c>
      <c r="K6" s="73">
        <v>636.963920543351</v>
      </c>
      <c r="L6" s="49"/>
    </row>
    <row r="7" s="24" customFormat="1" customHeight="1" spans="2:12">
      <c r="B7" s="37">
        <v>1</v>
      </c>
      <c r="C7" s="23" t="s">
        <v>23</v>
      </c>
      <c r="D7" s="42">
        <v>314.189217</v>
      </c>
      <c r="E7" s="43"/>
      <c r="F7" s="43"/>
      <c r="G7" s="44"/>
      <c r="H7" s="44">
        <v>314.189217</v>
      </c>
      <c r="I7" s="6" t="s">
        <v>22</v>
      </c>
      <c r="J7" s="72">
        <v>5278.35</v>
      </c>
      <c r="K7" s="21">
        <v>595.241348148569</v>
      </c>
      <c r="L7" s="49"/>
    </row>
    <row r="8" s="24" customFormat="1" customHeight="1" spans="2:12">
      <c r="B8" s="37">
        <v>2</v>
      </c>
      <c r="C8" s="23" t="s">
        <v>24</v>
      </c>
      <c r="D8" s="42">
        <v>19.595376</v>
      </c>
      <c r="E8" s="43"/>
      <c r="F8" s="43"/>
      <c r="G8" s="44"/>
      <c r="H8" s="44">
        <v>19.595376</v>
      </c>
      <c r="I8" s="6" t="s">
        <v>22</v>
      </c>
      <c r="J8" s="72">
        <v>5278.35</v>
      </c>
      <c r="K8" s="21">
        <v>37.1240558128961</v>
      </c>
      <c r="L8" s="49"/>
    </row>
    <row r="9" s="24" customFormat="1" customHeight="1" spans="2:12">
      <c r="B9" s="37">
        <v>3</v>
      </c>
      <c r="C9" s="23" t="s">
        <v>25</v>
      </c>
      <c r="D9" s="42">
        <v>2.427258</v>
      </c>
      <c r="E9" s="43"/>
      <c r="F9" s="43"/>
      <c r="G9" s="44"/>
      <c r="H9" s="44">
        <v>2.427258</v>
      </c>
      <c r="I9" s="6" t="s">
        <v>22</v>
      </c>
      <c r="J9" s="72">
        <v>5278.35</v>
      </c>
      <c r="K9" s="21">
        <v>4.59851658188638</v>
      </c>
      <c r="L9" s="49"/>
    </row>
    <row r="10" s="24" customFormat="1" customHeight="1" spans="2:12">
      <c r="B10" s="37">
        <v>4</v>
      </c>
      <c r="C10" s="23" t="s">
        <v>26</v>
      </c>
      <c r="D10" s="42">
        <v>80.391302</v>
      </c>
      <c r="E10" s="43"/>
      <c r="F10" s="43"/>
      <c r="G10" s="44"/>
      <c r="H10" s="44">
        <v>80.391302</v>
      </c>
      <c r="I10" s="6" t="s">
        <v>22</v>
      </c>
      <c r="J10" s="72">
        <v>5278.35</v>
      </c>
      <c r="K10" s="21">
        <v>152.30384874061</v>
      </c>
      <c r="L10" s="49"/>
    </row>
    <row r="11" s="24" customFormat="1" customHeight="1" spans="2:12">
      <c r="B11" s="37" t="s">
        <v>27</v>
      </c>
      <c r="C11" s="41" t="s">
        <v>28</v>
      </c>
      <c r="D11" s="40"/>
      <c r="E11" s="40"/>
      <c r="F11" s="40"/>
      <c r="G11" s="40"/>
      <c r="H11" s="40">
        <v>1756.366272</v>
      </c>
      <c r="I11" s="40" t="s">
        <v>22</v>
      </c>
      <c r="J11" s="73">
        <v>1093.32</v>
      </c>
      <c r="K11" s="73">
        <v>16064.5215673362</v>
      </c>
      <c r="L11" s="49"/>
    </row>
    <row r="12" s="24" customFormat="1" customHeight="1" spans="2:12">
      <c r="B12" s="37">
        <v>1</v>
      </c>
      <c r="C12" s="5" t="s">
        <v>29</v>
      </c>
      <c r="D12" s="42">
        <v>255.148212</v>
      </c>
      <c r="E12" s="42"/>
      <c r="F12" s="42"/>
      <c r="G12" s="42"/>
      <c r="H12" s="44">
        <v>255.148212</v>
      </c>
      <c r="I12" s="6" t="s">
        <v>22</v>
      </c>
      <c r="J12" s="72">
        <v>257.32</v>
      </c>
      <c r="K12" s="21">
        <v>9915.59972019275</v>
      </c>
      <c r="L12" s="49"/>
    </row>
    <row r="13" s="24" customFormat="1" customHeight="1" spans="2:12">
      <c r="B13" s="37">
        <v>2</v>
      </c>
      <c r="C13" s="23" t="s">
        <v>30</v>
      </c>
      <c r="D13" s="42">
        <v>961.279162</v>
      </c>
      <c r="E13" s="43"/>
      <c r="F13" s="43"/>
      <c r="G13" s="43"/>
      <c r="H13" s="44">
        <v>961.279162</v>
      </c>
      <c r="I13" s="6" t="s">
        <v>22</v>
      </c>
      <c r="J13" s="72">
        <v>836</v>
      </c>
      <c r="K13" s="21">
        <v>11498.554569378</v>
      </c>
      <c r="L13" s="49"/>
    </row>
    <row r="14" s="24" customFormat="1" customHeight="1" spans="2:12">
      <c r="B14" s="37">
        <v>3</v>
      </c>
      <c r="C14" s="23" t="s">
        <v>31</v>
      </c>
      <c r="D14" s="42">
        <v>252.818112</v>
      </c>
      <c r="E14" s="43"/>
      <c r="F14" s="43"/>
      <c r="G14" s="44"/>
      <c r="H14" s="44">
        <v>252.818112</v>
      </c>
      <c r="I14" s="6" t="s">
        <v>22</v>
      </c>
      <c r="J14" s="72">
        <v>1093.32</v>
      </c>
      <c r="K14" s="21">
        <v>2312.38898035342</v>
      </c>
      <c r="L14" s="49"/>
    </row>
    <row r="15" s="24" customFormat="1" customHeight="1" spans="2:12">
      <c r="B15" s="37">
        <v>4</v>
      </c>
      <c r="C15" s="23" t="s">
        <v>8</v>
      </c>
      <c r="D15" s="42">
        <v>287.120786</v>
      </c>
      <c r="E15" s="43"/>
      <c r="F15" s="43"/>
      <c r="G15" s="44"/>
      <c r="H15" s="44">
        <v>287.120786</v>
      </c>
      <c r="I15" s="6" t="s">
        <v>22</v>
      </c>
      <c r="J15" s="72">
        <v>1093.32</v>
      </c>
      <c r="K15" s="21">
        <v>2626.13677605824</v>
      </c>
      <c r="L15" s="49"/>
    </row>
    <row r="16" s="25" customFormat="1" customHeight="1" spans="2:12">
      <c r="B16" s="37"/>
      <c r="C16" s="23"/>
      <c r="D16" s="42"/>
      <c r="E16" s="43"/>
      <c r="F16" s="43"/>
      <c r="G16" s="44"/>
      <c r="H16" s="44"/>
      <c r="I16" s="6"/>
      <c r="J16" s="72"/>
      <c r="K16" s="21"/>
      <c r="L16" s="49"/>
    </row>
    <row r="17" customHeight="1" spans="2:12">
      <c r="B17" s="37"/>
      <c r="C17" s="216" t="s">
        <v>32</v>
      </c>
      <c r="D17" s="40">
        <v>2172.969425</v>
      </c>
      <c r="E17" s="40">
        <v>0</v>
      </c>
      <c r="F17" s="40">
        <v>0</v>
      </c>
      <c r="G17" s="40">
        <v>0</v>
      </c>
      <c r="H17" s="40">
        <v>2172.969425</v>
      </c>
      <c r="I17" s="49"/>
      <c r="J17" s="72"/>
      <c r="K17" s="72"/>
      <c r="L17" s="49"/>
    </row>
    <row r="18" customHeight="1" spans="2:12">
      <c r="B18" s="37"/>
      <c r="C18" s="45" t="s">
        <v>33</v>
      </c>
      <c r="D18" s="46">
        <v>0</v>
      </c>
      <c r="E18" s="46">
        <v>0</v>
      </c>
      <c r="F18" s="46">
        <v>0</v>
      </c>
      <c r="G18" s="46">
        <v>1777.76319553767</v>
      </c>
      <c r="H18" s="40">
        <v>1777.76319553767</v>
      </c>
      <c r="I18" s="6"/>
      <c r="J18" s="21"/>
      <c r="K18" s="21"/>
      <c r="L18" s="6"/>
    </row>
    <row r="19" customHeight="1" spans="2:12">
      <c r="B19" s="37">
        <v>1</v>
      </c>
      <c r="C19" s="47" t="s">
        <v>34</v>
      </c>
      <c r="D19" s="48"/>
      <c r="E19" s="48"/>
      <c r="F19" s="48"/>
      <c r="G19" s="48"/>
      <c r="H19" s="49">
        <v>1123.09</v>
      </c>
      <c r="I19" s="47"/>
      <c r="J19" s="21"/>
      <c r="K19" s="21"/>
      <c r="L19" s="74"/>
    </row>
    <row r="20" customHeight="1" spans="2:12">
      <c r="B20" s="37">
        <v>-1</v>
      </c>
      <c r="C20" s="47" t="s">
        <v>279</v>
      </c>
      <c r="D20" s="6"/>
      <c r="E20" s="6"/>
      <c r="F20" s="6"/>
      <c r="G20" s="48">
        <v>1123.09</v>
      </c>
      <c r="H20" s="49">
        <v>1123.09</v>
      </c>
      <c r="I20" s="47" t="s">
        <v>36</v>
      </c>
      <c r="J20" s="21"/>
      <c r="K20" s="21"/>
      <c r="L20" s="47"/>
    </row>
    <row r="21" customHeight="1" spans="2:12">
      <c r="B21" s="37">
        <v>2</v>
      </c>
      <c r="C21" s="47" t="s">
        <v>37</v>
      </c>
      <c r="D21" s="48"/>
      <c r="E21" s="48"/>
      <c r="F21" s="48"/>
      <c r="G21" s="48">
        <v>48.8033214522423</v>
      </c>
      <c r="H21" s="49">
        <v>48.8033214522423</v>
      </c>
      <c r="I21" s="47" t="s">
        <v>38</v>
      </c>
      <c r="J21" s="21"/>
      <c r="K21" s="21"/>
      <c r="L21" s="6"/>
    </row>
    <row r="22" customHeight="1" spans="2:12">
      <c r="B22" s="37">
        <v>3</v>
      </c>
      <c r="C22" s="217" t="s">
        <v>39</v>
      </c>
      <c r="D22" s="48"/>
      <c r="E22" s="48"/>
      <c r="F22" s="48"/>
      <c r="G22" s="48">
        <v>58.2512662</v>
      </c>
      <c r="H22" s="49">
        <v>58.2512662</v>
      </c>
      <c r="I22" s="47" t="s">
        <v>40</v>
      </c>
      <c r="J22" s="21"/>
      <c r="K22" s="21"/>
      <c r="L22" s="47"/>
    </row>
    <row r="23" customHeight="1" spans="2:12">
      <c r="B23" s="37">
        <v>4</v>
      </c>
      <c r="C23" s="47" t="s">
        <v>41</v>
      </c>
      <c r="D23" s="6"/>
      <c r="E23" s="6"/>
      <c r="F23" s="6"/>
      <c r="G23" s="48"/>
      <c r="H23" s="49">
        <v>45.50182519</v>
      </c>
      <c r="I23" s="47"/>
      <c r="J23" s="21"/>
      <c r="K23" s="21"/>
      <c r="L23" s="47"/>
    </row>
    <row r="24" customHeight="1" spans="2:12">
      <c r="B24" s="37">
        <v>-1</v>
      </c>
      <c r="C24" s="47" t="s">
        <v>42</v>
      </c>
      <c r="D24" s="6"/>
      <c r="E24" s="6"/>
      <c r="F24" s="6"/>
      <c r="G24" s="48">
        <v>9.4918777</v>
      </c>
      <c r="H24" s="49">
        <v>9.4918777</v>
      </c>
      <c r="I24" s="47" t="s">
        <v>43</v>
      </c>
      <c r="J24" s="21"/>
      <c r="K24" s="21"/>
      <c r="L24" s="47"/>
    </row>
    <row r="25" customHeight="1" spans="2:12">
      <c r="B25" s="37">
        <v>-2</v>
      </c>
      <c r="C25" s="47" t="s">
        <v>44</v>
      </c>
      <c r="D25" s="6"/>
      <c r="E25" s="6"/>
      <c r="F25" s="6"/>
      <c r="G25" s="48">
        <v>9.107283815</v>
      </c>
      <c r="H25" s="49">
        <v>9.107283815</v>
      </c>
      <c r="I25" s="47" t="s">
        <v>43</v>
      </c>
      <c r="J25" s="21"/>
      <c r="K25" s="21"/>
      <c r="L25" s="47"/>
    </row>
    <row r="26" customHeight="1" spans="2:12">
      <c r="B26" s="37">
        <v>-3</v>
      </c>
      <c r="C26" s="47" t="s">
        <v>45</v>
      </c>
      <c r="D26" s="6"/>
      <c r="E26" s="6"/>
      <c r="F26" s="6"/>
      <c r="G26" s="48">
        <v>26.902663675</v>
      </c>
      <c r="H26" s="49">
        <v>26.902663675</v>
      </c>
      <c r="I26" s="47" t="s">
        <v>43</v>
      </c>
      <c r="J26" s="21"/>
      <c r="K26" s="21"/>
      <c r="L26" s="47"/>
    </row>
    <row r="27" customHeight="1" spans="2:12">
      <c r="B27" s="37">
        <v>5</v>
      </c>
      <c r="C27" s="47" t="s">
        <v>46</v>
      </c>
      <c r="D27" s="48"/>
      <c r="E27" s="48"/>
      <c r="F27" s="48"/>
      <c r="G27" s="48"/>
      <c r="H27" s="49">
        <v>5.6</v>
      </c>
      <c r="I27" s="47"/>
      <c r="J27" s="21"/>
      <c r="K27" s="21"/>
      <c r="L27" s="47"/>
    </row>
    <row r="28" customHeight="1" spans="2:12">
      <c r="B28" s="37">
        <v>-1</v>
      </c>
      <c r="C28" s="47" t="s">
        <v>47</v>
      </c>
      <c r="D28" s="48"/>
      <c r="E28" s="48"/>
      <c r="F28" s="48"/>
      <c r="G28" s="48">
        <v>5.6</v>
      </c>
      <c r="H28" s="49">
        <v>5.6</v>
      </c>
      <c r="I28" s="47" t="s">
        <v>48</v>
      </c>
      <c r="J28" s="21"/>
      <c r="K28" s="21"/>
      <c r="L28" s="47"/>
    </row>
    <row r="29" customHeight="1" spans="2:12">
      <c r="B29" s="37">
        <v>6</v>
      </c>
      <c r="C29" s="47" t="s">
        <v>49</v>
      </c>
      <c r="D29" s="6"/>
      <c r="E29" s="6"/>
      <c r="F29" s="6"/>
      <c r="G29" s="48">
        <v>6.53963317137336</v>
      </c>
      <c r="H29" s="49">
        <v>6.53963317137336</v>
      </c>
      <c r="I29" s="47" t="s">
        <v>50</v>
      </c>
      <c r="J29" s="21"/>
      <c r="K29" s="21"/>
      <c r="L29" s="47"/>
    </row>
    <row r="30" customHeight="1" spans="2:12">
      <c r="B30" s="37">
        <v>7</v>
      </c>
      <c r="C30" s="47" t="s">
        <v>51</v>
      </c>
      <c r="D30" s="6"/>
      <c r="E30" s="6"/>
      <c r="F30" s="6"/>
      <c r="G30" s="48"/>
      <c r="H30" s="49">
        <v>17.818349285</v>
      </c>
      <c r="I30" s="47"/>
      <c r="J30" s="21"/>
      <c r="K30" s="21"/>
      <c r="L30" s="47"/>
    </row>
    <row r="31" s="26" customFormat="1" customHeight="1" spans="2:12">
      <c r="B31" s="37">
        <v>-1</v>
      </c>
      <c r="C31" s="47" t="s">
        <v>52</v>
      </c>
      <c r="D31" s="6"/>
      <c r="E31" s="6"/>
      <c r="F31" s="6"/>
      <c r="G31" s="48">
        <v>6.518908275</v>
      </c>
      <c r="H31" s="49">
        <v>6.518908275</v>
      </c>
      <c r="I31" s="47" t="s">
        <v>53</v>
      </c>
      <c r="J31" s="21"/>
      <c r="K31" s="21"/>
      <c r="L31" s="47"/>
    </row>
    <row r="32" customHeight="1" spans="2:12">
      <c r="B32" s="37">
        <v>-2</v>
      </c>
      <c r="C32" s="47" t="s">
        <v>54</v>
      </c>
      <c r="D32" s="6"/>
      <c r="E32" s="6"/>
      <c r="F32" s="6"/>
      <c r="G32" s="48">
        <v>6.518908275</v>
      </c>
      <c r="H32" s="49">
        <v>6.518908275</v>
      </c>
      <c r="I32" s="47" t="s">
        <v>53</v>
      </c>
      <c r="J32" s="21"/>
      <c r="K32" s="21"/>
      <c r="L32" s="47"/>
    </row>
    <row r="33" customHeight="1" spans="2:12">
      <c r="B33" s="37">
        <v>-3</v>
      </c>
      <c r="C33" s="50" t="s">
        <v>55</v>
      </c>
      <c r="D33" s="6"/>
      <c r="E33" s="6"/>
      <c r="F33" s="6"/>
      <c r="G33" s="48">
        <v>4.34593885</v>
      </c>
      <c r="H33" s="49">
        <v>4.34593885</v>
      </c>
      <c r="I33" s="47" t="s">
        <v>53</v>
      </c>
      <c r="J33" s="21"/>
      <c r="K33" s="21"/>
      <c r="L33" s="47"/>
    </row>
    <row r="34" customHeight="1" spans="2:12">
      <c r="B34" s="37">
        <v>-4</v>
      </c>
      <c r="C34" s="47" t="s">
        <v>56</v>
      </c>
      <c r="D34" s="6"/>
      <c r="E34" s="6"/>
      <c r="F34" s="6"/>
      <c r="G34" s="48">
        <v>0.434593885</v>
      </c>
      <c r="H34" s="49">
        <v>0.434593885</v>
      </c>
      <c r="I34" s="47" t="s">
        <v>53</v>
      </c>
      <c r="J34" s="21"/>
      <c r="K34" s="21"/>
      <c r="L34" s="47"/>
    </row>
    <row r="35" customHeight="1" spans="2:12">
      <c r="B35" s="37">
        <v>8</v>
      </c>
      <c r="C35" s="51" t="s">
        <v>57</v>
      </c>
      <c r="D35" s="52"/>
      <c r="E35" s="52"/>
      <c r="F35" s="52"/>
      <c r="G35" s="53">
        <v>0.200001</v>
      </c>
      <c r="H35" s="54">
        <v>0.200001</v>
      </c>
      <c r="I35" s="47" t="s">
        <v>58</v>
      </c>
      <c r="J35" s="47"/>
      <c r="K35" s="75"/>
      <c r="L35" s="76"/>
    </row>
    <row r="36" customHeight="1" spans="2:12">
      <c r="B36" s="37">
        <v>9</v>
      </c>
      <c r="C36" s="47" t="s">
        <v>59</v>
      </c>
      <c r="D36" s="6"/>
      <c r="E36" s="6"/>
      <c r="F36" s="6"/>
      <c r="G36" s="48">
        <v>12.7788483339375</v>
      </c>
      <c r="H36" s="49">
        <v>12.7788483339375</v>
      </c>
      <c r="I36" s="47" t="s">
        <v>60</v>
      </c>
      <c r="J36" s="47"/>
      <c r="K36" s="21"/>
      <c r="L36" s="47"/>
    </row>
    <row r="37" customHeight="1" spans="2:12">
      <c r="B37" s="37">
        <v>10</v>
      </c>
      <c r="C37" s="12" t="s">
        <v>61</v>
      </c>
      <c r="D37" s="6"/>
      <c r="E37" s="6"/>
      <c r="F37" s="6"/>
      <c r="G37" s="48"/>
      <c r="H37" s="49">
        <v>99.60969425</v>
      </c>
      <c r="I37" s="77"/>
      <c r="J37" s="78"/>
      <c r="K37" s="21"/>
      <c r="L37" s="47"/>
    </row>
    <row r="38" customHeight="1" spans="2:12">
      <c r="B38" s="37">
        <v>-1</v>
      </c>
      <c r="C38" s="12" t="s">
        <v>62</v>
      </c>
      <c r="D38" s="48"/>
      <c r="E38" s="48"/>
      <c r="F38" s="48"/>
      <c r="G38" s="55">
        <v>5.4324235625</v>
      </c>
      <c r="H38" s="49">
        <v>5.4324235625</v>
      </c>
      <c r="I38" s="47"/>
      <c r="J38" s="21"/>
      <c r="K38" s="21"/>
      <c r="L38" s="47"/>
    </row>
    <row r="39" customHeight="1" spans="2:12">
      <c r="B39" s="37">
        <v>-2</v>
      </c>
      <c r="C39" s="12" t="s">
        <v>64</v>
      </c>
      <c r="D39" s="48"/>
      <c r="E39" s="48"/>
      <c r="F39" s="48"/>
      <c r="G39" s="55">
        <v>16.2972706875</v>
      </c>
      <c r="H39" s="49">
        <v>16.2972706875</v>
      </c>
      <c r="I39" s="47"/>
      <c r="J39" s="21"/>
      <c r="K39" s="21"/>
      <c r="L39" s="47"/>
    </row>
    <row r="40" s="27" customFormat="1" ht="23.25" customHeight="1" spans="2:12">
      <c r="B40" s="37">
        <v>-3</v>
      </c>
      <c r="C40" s="12" t="s">
        <v>66</v>
      </c>
      <c r="D40" s="6"/>
      <c r="E40" s="6"/>
      <c r="F40" s="6"/>
      <c r="G40" s="55">
        <v>77.88</v>
      </c>
      <c r="H40" s="49">
        <v>77.88</v>
      </c>
      <c r="I40" s="47" t="s">
        <v>48</v>
      </c>
      <c r="J40" s="21"/>
      <c r="K40" s="21"/>
      <c r="L40" s="47"/>
    </row>
    <row r="41" s="28" customFormat="1" customHeight="1" spans="2:12">
      <c r="B41" s="37">
        <v>11</v>
      </c>
      <c r="C41" s="47" t="s">
        <v>68</v>
      </c>
      <c r="D41" s="6"/>
      <c r="E41" s="6"/>
      <c r="F41" s="6"/>
      <c r="G41" s="48">
        <v>5.0622</v>
      </c>
      <c r="H41" s="49">
        <v>5.0622</v>
      </c>
      <c r="I41" s="47" t="s">
        <v>69</v>
      </c>
      <c r="J41" s="21"/>
      <c r="K41" s="21"/>
      <c r="L41" s="47"/>
    </row>
    <row r="42" s="28" customFormat="1" customHeight="1" spans="2:12">
      <c r="B42" s="37">
        <v>12</v>
      </c>
      <c r="C42" s="47" t="s">
        <v>70</v>
      </c>
      <c r="D42" s="48"/>
      <c r="E42" s="48"/>
      <c r="F42" s="48"/>
      <c r="G42" s="48">
        <v>21.72969425</v>
      </c>
      <c r="H42" s="49">
        <v>21.72969425</v>
      </c>
      <c r="I42" s="47" t="s">
        <v>71</v>
      </c>
      <c r="J42" s="21"/>
      <c r="K42" s="21"/>
      <c r="L42" s="47"/>
    </row>
    <row r="43" s="28" customFormat="1" customHeight="1" spans="2:12">
      <c r="B43" s="37">
        <v>13</v>
      </c>
      <c r="C43" s="47" t="s">
        <v>72</v>
      </c>
      <c r="D43" s="48"/>
      <c r="E43" s="48"/>
      <c r="F43" s="48"/>
      <c r="G43" s="48">
        <v>9.7783624125</v>
      </c>
      <c r="H43" s="49">
        <v>9.7783624125</v>
      </c>
      <c r="I43" s="47" t="s">
        <v>73</v>
      </c>
      <c r="J43" s="21"/>
      <c r="K43" s="21"/>
      <c r="L43" s="47"/>
    </row>
    <row r="44" s="29" customFormat="1" customHeight="1" spans="2:12">
      <c r="B44" s="56">
        <v>14</v>
      </c>
      <c r="C44" s="57" t="s">
        <v>280</v>
      </c>
      <c r="D44" s="53"/>
      <c r="E44" s="53"/>
      <c r="F44" s="53"/>
      <c r="G44" s="55">
        <v>10</v>
      </c>
      <c r="H44" s="58">
        <v>10</v>
      </c>
      <c r="I44" s="57" t="s">
        <v>36</v>
      </c>
      <c r="J44" s="79"/>
      <c r="K44" s="80"/>
      <c r="L44" s="81"/>
    </row>
    <row r="45" s="29" customFormat="1" customHeight="1" spans="2:12">
      <c r="B45" s="37">
        <v>15</v>
      </c>
      <c r="C45" s="57" t="s">
        <v>79</v>
      </c>
      <c r="D45" s="59"/>
      <c r="E45" s="59"/>
      <c r="F45" s="59"/>
      <c r="G45" s="55">
        <v>10</v>
      </c>
      <c r="H45" s="58">
        <v>10</v>
      </c>
      <c r="I45" s="57" t="s">
        <v>36</v>
      </c>
      <c r="J45" s="79"/>
      <c r="K45" s="80"/>
      <c r="L45" s="81"/>
    </row>
    <row r="46" s="29" customFormat="1" customHeight="1" spans="2:12">
      <c r="B46" s="37">
        <v>16</v>
      </c>
      <c r="C46" s="57" t="s">
        <v>80</v>
      </c>
      <c r="D46" s="59"/>
      <c r="E46" s="59"/>
      <c r="F46" s="59"/>
      <c r="G46" s="55">
        <v>10</v>
      </c>
      <c r="H46" s="58">
        <v>10</v>
      </c>
      <c r="I46" s="57" t="s">
        <v>36</v>
      </c>
      <c r="J46" s="79"/>
      <c r="K46" s="80"/>
      <c r="L46" s="81"/>
    </row>
    <row r="47" s="29" customFormat="1" customHeight="1" spans="2:12">
      <c r="B47" s="37">
        <v>17</v>
      </c>
      <c r="C47" s="60" t="s">
        <v>81</v>
      </c>
      <c r="D47" s="59"/>
      <c r="E47" s="59"/>
      <c r="F47" s="59"/>
      <c r="G47" s="55">
        <v>50</v>
      </c>
      <c r="H47" s="58">
        <v>50</v>
      </c>
      <c r="I47" s="57" t="s">
        <v>36</v>
      </c>
      <c r="J47" s="79"/>
      <c r="K47" s="80"/>
      <c r="L47" s="81"/>
    </row>
    <row r="48" s="29" customFormat="1" customHeight="1" spans="2:12">
      <c r="B48" s="56">
        <v>18</v>
      </c>
      <c r="C48" s="60" t="s">
        <v>281</v>
      </c>
      <c r="D48" s="59"/>
      <c r="E48" s="59"/>
      <c r="F48" s="59"/>
      <c r="G48" s="55">
        <v>10</v>
      </c>
      <c r="H48" s="58">
        <v>10</v>
      </c>
      <c r="I48" s="57" t="s">
        <v>36</v>
      </c>
      <c r="J48" s="79"/>
      <c r="K48" s="80"/>
      <c r="L48" s="81"/>
    </row>
    <row r="49" s="29" customFormat="1" customHeight="1" spans="2:12">
      <c r="B49" s="37">
        <v>19</v>
      </c>
      <c r="C49" s="60" t="s">
        <v>82</v>
      </c>
      <c r="D49" s="59"/>
      <c r="E49" s="59"/>
      <c r="F49" s="59"/>
      <c r="G49" s="55">
        <v>10</v>
      </c>
      <c r="H49" s="58">
        <v>10</v>
      </c>
      <c r="I49" s="57" t="s">
        <v>36</v>
      </c>
      <c r="J49" s="79"/>
      <c r="K49" s="80"/>
      <c r="L49" s="81"/>
    </row>
    <row r="50" s="29" customFormat="1" customHeight="1" spans="2:12">
      <c r="B50" s="37">
        <v>20</v>
      </c>
      <c r="C50" s="61" t="s">
        <v>83</v>
      </c>
      <c r="D50" s="62"/>
      <c r="E50" s="62"/>
      <c r="F50" s="62"/>
      <c r="G50" s="55">
        <v>30</v>
      </c>
      <c r="H50" s="58">
        <v>30</v>
      </c>
      <c r="I50" s="57" t="s">
        <v>36</v>
      </c>
      <c r="J50" s="82"/>
      <c r="K50" s="83"/>
      <c r="L50" s="81"/>
    </row>
    <row r="51" s="29" customFormat="1" customHeight="1" spans="2:12">
      <c r="B51" s="37">
        <v>21</v>
      </c>
      <c r="C51" s="57" t="s">
        <v>84</v>
      </c>
      <c r="D51" s="59"/>
      <c r="E51" s="59"/>
      <c r="F51" s="59"/>
      <c r="G51" s="55">
        <v>100</v>
      </c>
      <c r="H51" s="58">
        <v>100</v>
      </c>
      <c r="I51" s="57" t="s">
        <v>36</v>
      </c>
      <c r="J51" s="84"/>
      <c r="K51" s="85"/>
      <c r="L51" s="81"/>
    </row>
    <row r="52" s="29" customFormat="1" customHeight="1" spans="2:12">
      <c r="B52" s="56">
        <v>22</v>
      </c>
      <c r="C52" s="63" t="s">
        <v>282</v>
      </c>
      <c r="D52" s="64"/>
      <c r="E52" s="64"/>
      <c r="F52" s="64"/>
      <c r="G52" s="55">
        <v>8</v>
      </c>
      <c r="H52" s="58">
        <v>8</v>
      </c>
      <c r="I52" s="51" t="s">
        <v>283</v>
      </c>
      <c r="J52" s="79"/>
      <c r="K52" s="80"/>
      <c r="L52" s="81"/>
    </row>
    <row r="53" s="29" customFormat="1" customHeight="1" spans="2:12">
      <c r="B53" s="37">
        <v>23</v>
      </c>
      <c r="C53" s="63" t="s">
        <v>85</v>
      </c>
      <c r="D53" s="64"/>
      <c r="E53" s="64"/>
      <c r="F53" s="64"/>
      <c r="G53" s="55">
        <v>50</v>
      </c>
      <c r="H53" s="58">
        <v>50</v>
      </c>
      <c r="I53" s="57" t="s">
        <v>36</v>
      </c>
      <c r="J53" s="79"/>
      <c r="K53" s="80"/>
      <c r="L53" s="81"/>
    </row>
    <row r="54" s="29" customFormat="1" customHeight="1" spans="2:12">
      <c r="B54" s="37">
        <v>24</v>
      </c>
      <c r="C54" s="63" t="s">
        <v>86</v>
      </c>
      <c r="D54" s="64"/>
      <c r="E54" s="64"/>
      <c r="F54" s="64"/>
      <c r="G54" s="55">
        <v>10</v>
      </c>
      <c r="H54" s="58">
        <v>10</v>
      </c>
      <c r="I54" s="57" t="s">
        <v>36</v>
      </c>
      <c r="J54" s="79"/>
      <c r="K54" s="80"/>
      <c r="L54" s="81"/>
    </row>
    <row r="55" s="29" customFormat="1" customHeight="1" spans="2:12">
      <c r="B55" s="37">
        <v>25</v>
      </c>
      <c r="C55" s="63" t="s">
        <v>87</v>
      </c>
      <c r="D55" s="64"/>
      <c r="E55" s="64"/>
      <c r="F55" s="64"/>
      <c r="G55" s="55">
        <v>20</v>
      </c>
      <c r="H55" s="58">
        <v>20</v>
      </c>
      <c r="I55" s="57" t="s">
        <v>36</v>
      </c>
      <c r="J55" s="79"/>
      <c r="K55" s="80"/>
      <c r="L55" s="81"/>
    </row>
    <row r="56" s="29" customFormat="1" customHeight="1" spans="2:12">
      <c r="B56" s="56">
        <v>26</v>
      </c>
      <c r="C56" s="63" t="s">
        <v>88</v>
      </c>
      <c r="D56" s="64"/>
      <c r="E56" s="64"/>
      <c r="F56" s="64"/>
      <c r="G56" s="55">
        <v>5</v>
      </c>
      <c r="H56" s="58">
        <v>5</v>
      </c>
      <c r="I56" s="57" t="s">
        <v>36</v>
      </c>
      <c r="J56" s="79"/>
      <c r="K56" s="80"/>
      <c r="L56" s="81"/>
    </row>
    <row r="57" customHeight="1" spans="2:12">
      <c r="B57" s="37"/>
      <c r="C57" s="47"/>
      <c r="D57" s="6"/>
      <c r="E57" s="6"/>
      <c r="F57" s="6"/>
      <c r="G57" s="48"/>
      <c r="H57" s="48"/>
      <c r="I57" s="6"/>
      <c r="J57" s="21"/>
      <c r="K57" s="21"/>
      <c r="L57" s="6"/>
    </row>
    <row r="58" customHeight="1" spans="2:12">
      <c r="B58" s="37"/>
      <c r="C58" s="216" t="s">
        <v>89</v>
      </c>
      <c r="D58" s="40"/>
      <c r="E58" s="40"/>
      <c r="F58" s="40"/>
      <c r="G58" s="40">
        <v>1777.76319553767</v>
      </c>
      <c r="H58" s="40">
        <v>1777.76319553767</v>
      </c>
      <c r="I58" s="49"/>
      <c r="J58" s="72"/>
      <c r="K58" s="72"/>
      <c r="L58" s="49"/>
    </row>
    <row r="59" customHeight="1" spans="2:12">
      <c r="B59" s="37"/>
      <c r="C59" s="218" t="s">
        <v>90</v>
      </c>
      <c r="D59" s="46">
        <v>2172.969425</v>
      </c>
      <c r="E59" s="46">
        <v>0</v>
      </c>
      <c r="F59" s="46">
        <v>0</v>
      </c>
      <c r="G59" s="46">
        <v>1777.76319553767</v>
      </c>
      <c r="H59" s="40">
        <v>3950.73262053767</v>
      </c>
      <c r="I59" s="6"/>
      <c r="J59" s="21"/>
      <c r="K59" s="21"/>
      <c r="L59" s="6"/>
    </row>
    <row r="60" customHeight="1" spans="2:12">
      <c r="B60" s="37"/>
      <c r="C60" s="45" t="s">
        <v>91</v>
      </c>
      <c r="D60" s="6"/>
      <c r="E60" s="6"/>
      <c r="F60" s="6"/>
      <c r="G60" s="46">
        <v>141.382131026584</v>
      </c>
      <c r="H60" s="40">
        <v>141.382131026584</v>
      </c>
      <c r="I60" s="6"/>
      <c r="J60" s="21"/>
      <c r="K60" s="21"/>
      <c r="L60" s="6"/>
    </row>
    <row r="61" customHeight="1" spans="2:12">
      <c r="B61" s="37"/>
      <c r="C61" s="47" t="s">
        <v>194</v>
      </c>
      <c r="D61" s="6"/>
      <c r="E61" s="6"/>
      <c r="F61" s="6"/>
      <c r="G61" s="65">
        <v>141.382131026884</v>
      </c>
      <c r="H61" s="48">
        <v>141.382131026884</v>
      </c>
      <c r="I61" s="6"/>
      <c r="J61" s="21"/>
      <c r="K61" s="21"/>
      <c r="L61" s="6"/>
    </row>
    <row r="62" customHeight="1" spans="2:12">
      <c r="B62" s="37"/>
      <c r="C62" s="45"/>
      <c r="D62" s="6"/>
      <c r="E62" s="6"/>
      <c r="F62" s="6"/>
      <c r="G62" s="6"/>
      <c r="H62" s="6"/>
      <c r="I62" s="6"/>
      <c r="J62" s="21"/>
      <c r="K62" s="21"/>
      <c r="L62" s="6"/>
    </row>
    <row r="63" customHeight="1" spans="2:12">
      <c r="B63" s="37"/>
      <c r="C63" s="218" t="s">
        <v>92</v>
      </c>
      <c r="D63" s="46">
        <v>2172.969425</v>
      </c>
      <c r="E63" s="46">
        <v>0</v>
      </c>
      <c r="F63" s="46">
        <v>0</v>
      </c>
      <c r="G63" s="46">
        <v>1919.14532656425</v>
      </c>
      <c r="H63" s="40">
        <v>4092.11475156425</v>
      </c>
      <c r="I63" s="6"/>
      <c r="J63" s="21"/>
      <c r="K63" s="21"/>
      <c r="L63" s="6"/>
    </row>
    <row r="64" customHeight="1" spans="2:12">
      <c r="B64" s="37"/>
      <c r="C64" s="45"/>
      <c r="D64" s="6"/>
      <c r="E64" s="6"/>
      <c r="F64" s="6"/>
      <c r="G64" s="6"/>
      <c r="H64" s="6"/>
      <c r="I64" s="6"/>
      <c r="J64" s="21"/>
      <c r="K64" s="21"/>
      <c r="L64" s="6"/>
    </row>
    <row r="65" customHeight="1" spans="2:12">
      <c r="B65" s="86"/>
      <c r="C65" s="45" t="s">
        <v>93</v>
      </c>
      <c r="D65" s="46">
        <v>2172.969425</v>
      </c>
      <c r="E65" s="46">
        <v>0</v>
      </c>
      <c r="F65" s="46">
        <v>0</v>
      </c>
      <c r="G65" s="46">
        <v>1919.14532656425</v>
      </c>
      <c r="H65" s="40">
        <v>4092.11475156425</v>
      </c>
      <c r="I65" s="6"/>
      <c r="J65" s="21"/>
      <c r="K65" s="21"/>
      <c r="L65" s="6"/>
    </row>
    <row r="66" customHeight="1" spans="2:12">
      <c r="B66" s="37"/>
      <c r="C66" s="47"/>
      <c r="D66" s="6"/>
      <c r="E66" s="6"/>
      <c r="F66" s="6"/>
      <c r="G66" s="6"/>
      <c r="H66" s="48"/>
      <c r="I66" s="6"/>
      <c r="J66" s="21"/>
      <c r="K66" s="21"/>
      <c r="L66" s="6"/>
    </row>
  </sheetData>
  <autoFilter ref="C3:C66">
    <extLst/>
  </autoFilter>
  <mergeCells count="6">
    <mergeCell ref="B1:L1"/>
    <mergeCell ref="D3:H3"/>
    <mergeCell ref="I3:K3"/>
    <mergeCell ref="B3:B4"/>
    <mergeCell ref="C3:C4"/>
    <mergeCell ref="L3:L4"/>
  </mergeCells>
  <conditionalFormatting sqref="H5">
    <cfRule type="cellIs" dxfId="0" priority="6" operator="notEqual">
      <formula>SUM($D$5:$G$5)</formula>
    </cfRule>
  </conditionalFormatting>
  <printOptions horizontalCentered="1"/>
  <pageMargins left="0.707638888888889" right="0.590277777777778" top="0.984027777777778" bottom="0.786805555555556" header="0.313888888888889" footer="0.313888888888889"/>
  <pageSetup paperSize="9" orientation="landscape" blackAndWhite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zoomScale="118" zoomScaleNormal="118" workbookViewId="0">
      <pane xSplit="1" ySplit="2" topLeftCell="B24" activePane="bottomRight" state="frozen"/>
      <selection/>
      <selection pane="topRight"/>
      <selection pane="bottomLeft"/>
      <selection pane="bottomRight" activeCell="F38" sqref="F38"/>
    </sheetView>
  </sheetViews>
  <sheetFormatPr defaultColWidth="9" defaultRowHeight="12" outlineLevelCol="6"/>
  <cols>
    <col min="1" max="1" width="9" style="1"/>
    <col min="2" max="2" width="36.25" style="2" customWidth="1"/>
    <col min="3" max="3" width="9" style="1"/>
    <col min="4" max="4" width="9.38333333333333" style="1" customWidth="1"/>
    <col min="5" max="5" width="9" style="1"/>
    <col min="6" max="6" width="9.38333333333333" style="1" customWidth="1"/>
    <col min="7" max="7" width="10.1333333333333" style="1" customWidth="1"/>
    <col min="8" max="8" width="33.5083333333333" style="1" customWidth="1"/>
    <col min="9" max="16384" width="9" style="1"/>
  </cols>
  <sheetData>
    <row r="1" ht="18.95" customHeight="1" spans="1:7">
      <c r="A1" s="3" t="s">
        <v>2</v>
      </c>
      <c r="B1" s="3" t="s">
        <v>179</v>
      </c>
      <c r="C1" s="3" t="s">
        <v>13</v>
      </c>
      <c r="D1" s="3" t="s">
        <v>284</v>
      </c>
      <c r="E1" s="3" t="s">
        <v>285</v>
      </c>
      <c r="F1" s="3" t="s">
        <v>286</v>
      </c>
      <c r="G1" s="3" t="s">
        <v>6</v>
      </c>
    </row>
    <row r="2" ht="18.95" customHeight="1" spans="1:7">
      <c r="A2" s="4"/>
      <c r="B2" s="3" t="s">
        <v>23</v>
      </c>
      <c r="C2" s="4"/>
      <c r="D2" s="4"/>
      <c r="E2" s="4"/>
      <c r="F2" s="4"/>
      <c r="G2" s="4"/>
    </row>
    <row r="3" spans="1:7">
      <c r="A3" s="4"/>
      <c r="B3" s="5" t="s">
        <v>287</v>
      </c>
      <c r="C3" s="6" t="s">
        <v>288</v>
      </c>
      <c r="D3" s="4">
        <v>40</v>
      </c>
      <c r="E3" s="4">
        <v>1</v>
      </c>
      <c r="F3" s="4">
        <f>D3*E3</f>
        <v>40</v>
      </c>
      <c r="G3" s="4"/>
    </row>
    <row r="4" spans="1:7">
      <c r="A4" s="4"/>
      <c r="B4" s="7" t="s">
        <v>289</v>
      </c>
      <c r="C4" s="8" t="s">
        <v>288</v>
      </c>
      <c r="D4" s="9">
        <v>20</v>
      </c>
      <c r="E4" s="4">
        <v>1</v>
      </c>
      <c r="F4" s="4">
        <v>20</v>
      </c>
      <c r="G4" s="4"/>
    </row>
    <row r="5" spans="1:7">
      <c r="A5" s="4"/>
      <c r="B5" s="7" t="s">
        <v>290</v>
      </c>
      <c r="C5" s="8" t="s">
        <v>288</v>
      </c>
      <c r="D5" s="9">
        <v>24.26</v>
      </c>
      <c r="E5" s="4">
        <v>1</v>
      </c>
      <c r="F5" s="4">
        <v>30</v>
      </c>
      <c r="G5" s="4"/>
    </row>
    <row r="6" spans="1:7">
      <c r="A6" s="4"/>
      <c r="B6" s="7" t="s">
        <v>291</v>
      </c>
      <c r="C6" s="8" t="s">
        <v>288</v>
      </c>
      <c r="D6" s="4">
        <v>79</v>
      </c>
      <c r="E6" s="4">
        <v>1</v>
      </c>
      <c r="F6" s="4">
        <v>80</v>
      </c>
      <c r="G6" s="4"/>
    </row>
    <row r="7" spans="1:7">
      <c r="A7" s="4"/>
      <c r="B7" s="7" t="s">
        <v>292</v>
      </c>
      <c r="C7" s="8" t="s">
        <v>288</v>
      </c>
      <c r="D7" s="4">
        <v>116</v>
      </c>
      <c r="E7" s="4">
        <v>1</v>
      </c>
      <c r="F7" s="4">
        <v>120</v>
      </c>
      <c r="G7" s="4"/>
    </row>
    <row r="8" spans="1:7">
      <c r="A8" s="4"/>
      <c r="B8" s="7" t="s">
        <v>293</v>
      </c>
      <c r="C8" s="8" t="s">
        <v>288</v>
      </c>
      <c r="D8" s="4">
        <v>10</v>
      </c>
      <c r="E8" s="4">
        <v>1</v>
      </c>
      <c r="F8" s="4">
        <f t="shared" ref="F8:F44" si="0">D8*E8</f>
        <v>10</v>
      </c>
      <c r="G8" s="4"/>
    </row>
    <row r="9" spans="1:7">
      <c r="A9" s="4"/>
      <c r="B9" s="5" t="s">
        <v>294</v>
      </c>
      <c r="C9" s="6" t="s">
        <v>22</v>
      </c>
      <c r="D9" s="9">
        <v>314.98</v>
      </c>
      <c r="E9" s="4">
        <v>1</v>
      </c>
      <c r="F9" s="4">
        <v>320</v>
      </c>
      <c r="G9" s="4"/>
    </row>
    <row r="10" spans="1:7">
      <c r="A10" s="4"/>
      <c r="B10" s="7" t="s">
        <v>295</v>
      </c>
      <c r="C10" s="8" t="s">
        <v>288</v>
      </c>
      <c r="D10" s="4">
        <v>116</v>
      </c>
      <c r="E10" s="4">
        <v>1</v>
      </c>
      <c r="F10" s="4">
        <v>120</v>
      </c>
      <c r="G10" s="4"/>
    </row>
    <row r="11" spans="1:7">
      <c r="A11" s="4"/>
      <c r="B11" s="5" t="s">
        <v>296</v>
      </c>
      <c r="C11" s="6" t="s">
        <v>22</v>
      </c>
      <c r="D11" s="4">
        <v>40</v>
      </c>
      <c r="E11" s="4">
        <v>1</v>
      </c>
      <c r="F11" s="4">
        <f t="shared" si="0"/>
        <v>40</v>
      </c>
      <c r="G11" s="4"/>
    </row>
    <row r="12" spans="1:7">
      <c r="A12" s="4"/>
      <c r="B12" s="5" t="s">
        <v>297</v>
      </c>
      <c r="C12" s="6" t="s">
        <v>22</v>
      </c>
      <c r="D12" s="9">
        <v>25.07</v>
      </c>
      <c r="E12" s="4">
        <v>1</v>
      </c>
      <c r="F12" s="4">
        <v>30</v>
      </c>
      <c r="G12" s="4"/>
    </row>
    <row r="13" spans="1:7">
      <c r="A13" s="4"/>
      <c r="B13" s="5" t="s">
        <v>298</v>
      </c>
      <c r="C13" s="6" t="s">
        <v>22</v>
      </c>
      <c r="D13" s="4">
        <v>23</v>
      </c>
      <c r="E13" s="4">
        <v>1</v>
      </c>
      <c r="F13" s="4">
        <v>25</v>
      </c>
      <c r="G13" s="4"/>
    </row>
    <row r="14" spans="1:7">
      <c r="A14" s="4"/>
      <c r="B14" s="5" t="s">
        <v>299</v>
      </c>
      <c r="C14" s="6" t="s">
        <v>288</v>
      </c>
      <c r="D14" s="4">
        <v>220</v>
      </c>
      <c r="E14" s="4">
        <v>1</v>
      </c>
      <c r="F14" s="4">
        <f t="shared" si="0"/>
        <v>220</v>
      </c>
      <c r="G14" s="4"/>
    </row>
    <row r="15" spans="1:7">
      <c r="A15" s="4"/>
      <c r="B15" s="5" t="s">
        <v>300</v>
      </c>
      <c r="C15" s="6" t="s">
        <v>288</v>
      </c>
      <c r="D15" s="4">
        <v>261</v>
      </c>
      <c r="E15" s="4">
        <v>1</v>
      </c>
      <c r="F15" s="4">
        <v>265</v>
      </c>
      <c r="G15" s="4"/>
    </row>
    <row r="16" spans="1:7">
      <c r="A16" s="4"/>
      <c r="B16" s="5" t="s">
        <v>301</v>
      </c>
      <c r="C16" s="6" t="s">
        <v>22</v>
      </c>
      <c r="D16" s="9">
        <v>17.6</v>
      </c>
      <c r="E16" s="4">
        <v>1</v>
      </c>
      <c r="F16" s="4">
        <v>20</v>
      </c>
      <c r="G16" s="4"/>
    </row>
    <row r="17" spans="1:7">
      <c r="A17" s="4"/>
      <c r="B17" s="5" t="s">
        <v>302</v>
      </c>
      <c r="C17" s="6" t="s">
        <v>22</v>
      </c>
      <c r="D17" s="4">
        <v>50</v>
      </c>
      <c r="E17" s="4">
        <v>1</v>
      </c>
      <c r="F17" s="4">
        <v>55</v>
      </c>
      <c r="G17" s="4"/>
    </row>
    <row r="18" spans="1:7">
      <c r="A18" s="4"/>
      <c r="B18" s="5" t="s">
        <v>303</v>
      </c>
      <c r="C18" s="6" t="s">
        <v>22</v>
      </c>
      <c r="D18" s="10">
        <f>97032.72/100*0.25</f>
        <v>242.5818</v>
      </c>
      <c r="E18" s="11">
        <v>1.05</v>
      </c>
      <c r="F18" s="10">
        <v>240</v>
      </c>
      <c r="G18" s="11"/>
    </row>
    <row r="19" spans="1:7">
      <c r="A19" s="4"/>
      <c r="B19" s="12" t="s">
        <v>304</v>
      </c>
      <c r="C19" s="6" t="s">
        <v>288</v>
      </c>
      <c r="D19" s="9">
        <v>202.26</v>
      </c>
      <c r="E19" s="4">
        <v>1</v>
      </c>
      <c r="F19" s="4">
        <v>250</v>
      </c>
      <c r="G19" s="4"/>
    </row>
    <row r="20" spans="1:7">
      <c r="A20" s="4"/>
      <c r="B20" s="12" t="s">
        <v>305</v>
      </c>
      <c r="C20" s="6" t="s">
        <v>288</v>
      </c>
      <c r="D20" s="4">
        <v>2</v>
      </c>
      <c r="E20" s="4">
        <v>1</v>
      </c>
      <c r="F20" s="4">
        <f t="shared" si="0"/>
        <v>2</v>
      </c>
      <c r="G20" s="4"/>
    </row>
    <row r="21" spans="1:7">
      <c r="A21" s="4"/>
      <c r="B21" s="12" t="s">
        <v>306</v>
      </c>
      <c r="C21" s="6" t="s">
        <v>22</v>
      </c>
      <c r="D21" s="4">
        <v>3</v>
      </c>
      <c r="E21" s="4">
        <v>1</v>
      </c>
      <c r="F21" s="4">
        <f t="shared" si="0"/>
        <v>3</v>
      </c>
      <c r="G21" s="4"/>
    </row>
    <row r="22" spans="1:7">
      <c r="A22" s="4"/>
      <c r="B22" s="12" t="s">
        <v>307</v>
      </c>
      <c r="C22" s="6" t="s">
        <v>22</v>
      </c>
      <c r="D22" s="4">
        <v>6</v>
      </c>
      <c r="E22" s="4">
        <v>1</v>
      </c>
      <c r="F22" s="4">
        <f t="shared" si="0"/>
        <v>6</v>
      </c>
      <c r="G22" s="4"/>
    </row>
    <row r="23" spans="1:7">
      <c r="A23" s="4"/>
      <c r="B23" s="12" t="s">
        <v>308</v>
      </c>
      <c r="C23" s="6" t="s">
        <v>22</v>
      </c>
      <c r="D23" s="4">
        <v>69</v>
      </c>
      <c r="E23" s="4">
        <v>1</v>
      </c>
      <c r="F23" s="4">
        <v>70</v>
      </c>
      <c r="G23" s="4"/>
    </row>
    <row r="24" spans="1:7">
      <c r="A24" s="4"/>
      <c r="B24" s="12" t="s">
        <v>309</v>
      </c>
      <c r="C24" s="6" t="s">
        <v>22</v>
      </c>
      <c r="D24" s="4">
        <v>106</v>
      </c>
      <c r="E24" s="4">
        <v>1</v>
      </c>
      <c r="F24" s="4">
        <v>110</v>
      </c>
      <c r="G24" s="4"/>
    </row>
    <row r="25" spans="1:7">
      <c r="A25" s="4"/>
      <c r="B25" s="12" t="s">
        <v>310</v>
      </c>
      <c r="C25" s="6" t="s">
        <v>22</v>
      </c>
      <c r="D25" s="4">
        <v>139</v>
      </c>
      <c r="E25" s="4">
        <v>1</v>
      </c>
      <c r="F25" s="4">
        <v>140</v>
      </c>
      <c r="G25" s="4"/>
    </row>
    <row r="26" spans="1:7">
      <c r="A26" s="4"/>
      <c r="B26" s="12" t="s">
        <v>311</v>
      </c>
      <c r="C26" s="6" t="s">
        <v>22</v>
      </c>
      <c r="D26" s="9">
        <v>94.96</v>
      </c>
      <c r="E26" s="4">
        <v>1</v>
      </c>
      <c r="F26" s="4">
        <v>100</v>
      </c>
      <c r="G26" s="4"/>
    </row>
    <row r="27" spans="1:7">
      <c r="A27" s="4"/>
      <c r="B27" s="5" t="s">
        <v>312</v>
      </c>
      <c r="C27" s="6" t="s">
        <v>22</v>
      </c>
      <c r="D27" s="4">
        <v>10</v>
      </c>
      <c r="E27" s="4">
        <v>1</v>
      </c>
      <c r="F27" s="4">
        <f t="shared" si="0"/>
        <v>10</v>
      </c>
      <c r="G27" s="4"/>
    </row>
    <row r="28" spans="1:7">
      <c r="A28" s="4"/>
      <c r="B28" s="5" t="s">
        <v>313</v>
      </c>
      <c r="C28" s="6" t="s">
        <v>22</v>
      </c>
      <c r="D28" s="9">
        <v>87.3</v>
      </c>
      <c r="E28" s="4">
        <v>1</v>
      </c>
      <c r="F28" s="4">
        <v>90</v>
      </c>
      <c r="G28" s="4"/>
    </row>
    <row r="29" spans="1:7">
      <c r="A29" s="4"/>
      <c r="B29" s="5" t="s">
        <v>314</v>
      </c>
      <c r="C29" s="6" t="s">
        <v>22</v>
      </c>
      <c r="D29" s="9">
        <v>84.6</v>
      </c>
      <c r="E29" s="4">
        <v>1</v>
      </c>
      <c r="F29" s="4">
        <v>88</v>
      </c>
      <c r="G29" s="4"/>
    </row>
    <row r="30" spans="1:7">
      <c r="A30" s="4"/>
      <c r="B30" s="5" t="s">
        <v>315</v>
      </c>
      <c r="C30" s="6" t="s">
        <v>22</v>
      </c>
      <c r="D30" s="9">
        <v>72.75</v>
      </c>
      <c r="E30" s="4">
        <v>1</v>
      </c>
      <c r="F30" s="4">
        <v>75</v>
      </c>
      <c r="G30" s="4"/>
    </row>
    <row r="31" spans="1:7">
      <c r="A31" s="4"/>
      <c r="B31" s="5" t="s">
        <v>316</v>
      </c>
      <c r="C31" s="6" t="s">
        <v>22</v>
      </c>
      <c r="D31" s="9">
        <v>70.5</v>
      </c>
      <c r="E31" s="4">
        <v>1</v>
      </c>
      <c r="F31" s="4">
        <v>73</v>
      </c>
      <c r="G31" s="4"/>
    </row>
    <row r="32" spans="1:7">
      <c r="A32" s="4"/>
      <c r="B32" s="5" t="s">
        <v>317</v>
      </c>
      <c r="C32" s="6" t="s">
        <v>22</v>
      </c>
      <c r="D32" s="4">
        <v>67</v>
      </c>
      <c r="E32" s="4">
        <v>1</v>
      </c>
      <c r="F32" s="4">
        <v>70</v>
      </c>
      <c r="G32" s="4"/>
    </row>
    <row r="33" spans="1:7">
      <c r="A33" s="4"/>
      <c r="B33" s="12" t="s">
        <v>318</v>
      </c>
      <c r="C33" s="6" t="s">
        <v>22</v>
      </c>
      <c r="D33" s="9">
        <v>94.5</v>
      </c>
      <c r="E33" s="4">
        <v>1</v>
      </c>
      <c r="F33" s="4">
        <v>100</v>
      </c>
      <c r="G33" s="4"/>
    </row>
    <row r="34" spans="1:7">
      <c r="A34" s="4"/>
      <c r="B34" s="5" t="s">
        <v>319</v>
      </c>
      <c r="C34" s="6" t="s">
        <v>22</v>
      </c>
      <c r="D34" s="4">
        <v>97</v>
      </c>
      <c r="E34" s="4">
        <v>1</v>
      </c>
      <c r="F34" s="4">
        <v>100</v>
      </c>
      <c r="G34" s="4"/>
    </row>
    <row r="35" spans="1:7">
      <c r="A35" s="4"/>
      <c r="B35" s="5" t="s">
        <v>317</v>
      </c>
      <c r="C35" s="6" t="s">
        <v>22</v>
      </c>
      <c r="D35" s="4">
        <v>67</v>
      </c>
      <c r="E35" s="4">
        <v>1</v>
      </c>
      <c r="F35" s="4">
        <v>70</v>
      </c>
      <c r="G35" s="4"/>
    </row>
    <row r="36" ht="24" spans="1:7">
      <c r="A36" s="4"/>
      <c r="B36" s="13" t="s">
        <v>320</v>
      </c>
      <c r="C36" s="6" t="s">
        <v>22</v>
      </c>
      <c r="D36" s="4">
        <v>410</v>
      </c>
      <c r="E36" s="4">
        <v>1</v>
      </c>
      <c r="F36" s="9">
        <f t="shared" si="0"/>
        <v>410</v>
      </c>
      <c r="G36" s="4"/>
    </row>
    <row r="37" ht="24" spans="1:7">
      <c r="A37" s="4"/>
      <c r="B37" s="13" t="s">
        <v>321</v>
      </c>
      <c r="C37" s="6" t="s">
        <v>22</v>
      </c>
      <c r="D37" s="4">
        <v>280</v>
      </c>
      <c r="E37" s="4">
        <v>1</v>
      </c>
      <c r="F37" s="9">
        <f t="shared" si="0"/>
        <v>280</v>
      </c>
      <c r="G37" s="4"/>
    </row>
    <row r="38" spans="1:7">
      <c r="A38" s="4"/>
      <c r="B38" s="5" t="s">
        <v>322</v>
      </c>
      <c r="C38" s="6" t="s">
        <v>288</v>
      </c>
      <c r="D38" s="9">
        <v>25.18</v>
      </c>
      <c r="E38" s="4">
        <v>1</v>
      </c>
      <c r="F38" s="9">
        <v>30</v>
      </c>
      <c r="G38" s="4"/>
    </row>
    <row r="39" spans="1:7">
      <c r="A39" s="4"/>
      <c r="B39" s="5" t="s">
        <v>323</v>
      </c>
      <c r="C39" s="4" t="s">
        <v>324</v>
      </c>
      <c r="D39" s="4">
        <v>3500</v>
      </c>
      <c r="E39" s="4">
        <v>1</v>
      </c>
      <c r="F39" s="9">
        <v>3500</v>
      </c>
      <c r="G39" s="4"/>
    </row>
    <row r="40" spans="1:7">
      <c r="A40" s="4"/>
      <c r="B40" s="5" t="s">
        <v>325</v>
      </c>
      <c r="C40" s="4" t="s">
        <v>324</v>
      </c>
      <c r="D40" s="4">
        <v>4500</v>
      </c>
      <c r="E40" s="4">
        <v>1</v>
      </c>
      <c r="F40" s="9">
        <v>4500</v>
      </c>
      <c r="G40" s="4"/>
    </row>
    <row r="41" spans="1:7">
      <c r="A41" s="4"/>
      <c r="B41" s="5" t="s">
        <v>326</v>
      </c>
      <c r="C41" s="4" t="s">
        <v>324</v>
      </c>
      <c r="D41" s="4">
        <v>178</v>
      </c>
      <c r="E41" s="4">
        <v>1</v>
      </c>
      <c r="F41" s="9">
        <v>180</v>
      </c>
      <c r="G41" s="4"/>
    </row>
    <row r="42" spans="1:7">
      <c r="A42" s="4"/>
      <c r="B42" s="5" t="s">
        <v>327</v>
      </c>
      <c r="C42" s="4" t="s">
        <v>324</v>
      </c>
      <c r="D42" s="4">
        <v>59</v>
      </c>
      <c r="E42" s="4">
        <v>1</v>
      </c>
      <c r="F42" s="9">
        <v>60</v>
      </c>
      <c r="G42" s="4"/>
    </row>
    <row r="43" spans="1:7">
      <c r="A43" s="4"/>
      <c r="B43" s="5" t="s">
        <v>328</v>
      </c>
      <c r="C43" s="4" t="s">
        <v>329</v>
      </c>
      <c r="D43" s="4">
        <v>1200</v>
      </c>
      <c r="E43" s="4">
        <v>1</v>
      </c>
      <c r="F43" s="9">
        <f t="shared" si="0"/>
        <v>1200</v>
      </c>
      <c r="G43" s="4"/>
    </row>
    <row r="44" spans="1:7">
      <c r="A44" s="4"/>
      <c r="B44" s="5" t="s">
        <v>330</v>
      </c>
      <c r="C44" s="4" t="s">
        <v>329</v>
      </c>
      <c r="D44" s="4">
        <v>1920</v>
      </c>
      <c r="E44" s="4">
        <v>1</v>
      </c>
      <c r="F44" s="9">
        <f t="shared" si="0"/>
        <v>1920</v>
      </c>
      <c r="G44" s="4"/>
    </row>
    <row r="45" spans="1:7">
      <c r="A45" s="4"/>
      <c r="B45" s="5" t="s">
        <v>331</v>
      </c>
      <c r="C45" s="4" t="s">
        <v>324</v>
      </c>
      <c r="D45" s="9">
        <v>30.19</v>
      </c>
      <c r="E45" s="4">
        <v>1</v>
      </c>
      <c r="F45" s="9">
        <v>35</v>
      </c>
      <c r="G45" s="4"/>
    </row>
    <row r="46" spans="1:7">
      <c r="A46" s="4"/>
      <c r="B46" s="5" t="s">
        <v>332</v>
      </c>
      <c r="C46" s="4" t="s">
        <v>324</v>
      </c>
      <c r="D46" s="9">
        <v>35.74</v>
      </c>
      <c r="E46" s="4">
        <v>1</v>
      </c>
      <c r="F46" s="9">
        <v>40</v>
      </c>
      <c r="G46" s="4"/>
    </row>
    <row r="47" spans="1:7">
      <c r="A47" s="4"/>
      <c r="B47" s="5" t="s">
        <v>333</v>
      </c>
      <c r="C47" s="4" t="s">
        <v>22</v>
      </c>
      <c r="D47" s="4">
        <v>18</v>
      </c>
      <c r="E47" s="4">
        <v>1</v>
      </c>
      <c r="F47" s="9">
        <v>20</v>
      </c>
      <c r="G47" s="4"/>
    </row>
    <row r="48" ht="48" spans="1:7">
      <c r="A48" s="4"/>
      <c r="B48" s="13" t="s">
        <v>334</v>
      </c>
      <c r="C48" s="4" t="s">
        <v>22</v>
      </c>
      <c r="D48" s="9">
        <v>557.77</v>
      </c>
      <c r="E48" s="4">
        <v>1</v>
      </c>
      <c r="F48" s="9">
        <v>600</v>
      </c>
      <c r="G48" s="4"/>
    </row>
    <row r="49" ht="13.5" spans="1:7">
      <c r="A49" s="4"/>
      <c r="B49" s="5" t="s">
        <v>335</v>
      </c>
      <c r="C49" s="14" t="s">
        <v>324</v>
      </c>
      <c r="D49" s="9">
        <v>74.46</v>
      </c>
      <c r="E49" s="4">
        <v>1</v>
      </c>
      <c r="F49" s="9">
        <v>75</v>
      </c>
      <c r="G49" s="4"/>
    </row>
    <row r="50" ht="13.5" spans="1:7">
      <c r="A50" s="4"/>
      <c r="B50" s="5" t="s">
        <v>336</v>
      </c>
      <c r="C50" s="14" t="s">
        <v>324</v>
      </c>
      <c r="D50" s="9">
        <v>74.46</v>
      </c>
      <c r="E50" s="4">
        <v>1</v>
      </c>
      <c r="F50" s="9">
        <v>75</v>
      </c>
      <c r="G50" s="4"/>
    </row>
    <row r="51" ht="24" spans="1:7">
      <c r="A51" s="4"/>
      <c r="B51" s="13" t="s">
        <v>337</v>
      </c>
      <c r="C51" s="4" t="s">
        <v>22</v>
      </c>
      <c r="D51" s="9">
        <v>30.95</v>
      </c>
      <c r="E51" s="4">
        <v>1</v>
      </c>
      <c r="F51" s="9">
        <v>35</v>
      </c>
      <c r="G51" s="4"/>
    </row>
    <row r="52" ht="13.5" spans="1:7">
      <c r="A52" s="4"/>
      <c r="B52" s="5" t="s">
        <v>338</v>
      </c>
      <c r="C52" s="14" t="s">
        <v>22</v>
      </c>
      <c r="D52" s="9">
        <v>103.34</v>
      </c>
      <c r="E52" s="4">
        <v>1</v>
      </c>
      <c r="F52" s="9">
        <v>110</v>
      </c>
      <c r="G52" s="4"/>
    </row>
    <row r="53" ht="13.5" spans="1:7">
      <c r="A53" s="4"/>
      <c r="B53" s="5" t="s">
        <v>339</v>
      </c>
      <c r="C53" s="14" t="s">
        <v>324</v>
      </c>
      <c r="D53" s="9">
        <v>200</v>
      </c>
      <c r="E53" s="4">
        <v>1</v>
      </c>
      <c r="F53" s="9">
        <v>200</v>
      </c>
      <c r="G53" s="4"/>
    </row>
    <row r="54" spans="2:2">
      <c r="B54" s="15"/>
    </row>
    <row r="55" spans="1:7">
      <c r="A55" s="4"/>
      <c r="B55" s="16" t="s">
        <v>166</v>
      </c>
      <c r="C55" s="4"/>
      <c r="D55" s="4"/>
      <c r="E55" s="4"/>
      <c r="F55" s="4"/>
      <c r="G55" s="4"/>
    </row>
    <row r="56" spans="1:7">
      <c r="A56" s="4"/>
      <c r="B56" s="5" t="s">
        <v>340</v>
      </c>
      <c r="C56" s="6" t="s">
        <v>324</v>
      </c>
      <c r="D56" s="4">
        <f>5.76*3500</f>
        <v>20160</v>
      </c>
      <c r="E56" s="4">
        <v>1</v>
      </c>
      <c r="F56" s="4">
        <v>20200</v>
      </c>
      <c r="G56" s="4"/>
    </row>
    <row r="57" spans="1:7">
      <c r="A57" s="4"/>
      <c r="B57" s="5" t="s">
        <v>341</v>
      </c>
      <c r="C57" s="6" t="s">
        <v>324</v>
      </c>
      <c r="D57" s="4">
        <v>1500</v>
      </c>
      <c r="E57" s="4">
        <v>1</v>
      </c>
      <c r="F57" s="4">
        <f t="shared" ref="F57" si="1">D57*E57</f>
        <v>1500</v>
      </c>
      <c r="G57" s="4"/>
    </row>
    <row r="58" spans="1:7">
      <c r="A58" s="4"/>
      <c r="B58" s="5"/>
      <c r="C58" s="6"/>
      <c r="D58" s="4"/>
      <c r="E58" s="4"/>
      <c r="F58" s="4"/>
      <c r="G58" s="4"/>
    </row>
    <row r="59" spans="1:7">
      <c r="A59" s="4"/>
      <c r="B59" s="17" t="s">
        <v>342</v>
      </c>
      <c r="C59" s="6"/>
      <c r="D59" s="4"/>
      <c r="E59" s="4"/>
      <c r="F59" s="4"/>
      <c r="G59" s="4"/>
    </row>
    <row r="60" spans="1:7">
      <c r="A60" s="4"/>
      <c r="B60" s="18" t="s">
        <v>343</v>
      </c>
      <c r="C60" s="6" t="s">
        <v>324</v>
      </c>
      <c r="D60" s="4"/>
      <c r="E60" s="4"/>
      <c r="F60" s="4">
        <v>2450</v>
      </c>
      <c r="G60" s="4"/>
    </row>
    <row r="61" spans="1:7">
      <c r="A61" s="4"/>
      <c r="B61" s="18" t="s">
        <v>344</v>
      </c>
      <c r="C61" s="6" t="s">
        <v>324</v>
      </c>
      <c r="D61" s="4"/>
      <c r="E61" s="4"/>
      <c r="F61" s="4">
        <v>2650</v>
      </c>
      <c r="G61" s="4"/>
    </row>
    <row r="62" spans="1:7">
      <c r="A62" s="4"/>
      <c r="B62" s="18" t="s">
        <v>345</v>
      </c>
      <c r="C62" s="6" t="s">
        <v>324</v>
      </c>
      <c r="D62" s="4"/>
      <c r="E62" s="4"/>
      <c r="F62" s="4">
        <v>2950</v>
      </c>
      <c r="G62" s="4"/>
    </row>
    <row r="63" spans="1:7">
      <c r="A63" s="4"/>
      <c r="B63" s="18" t="s">
        <v>346</v>
      </c>
      <c r="C63" s="6" t="s">
        <v>324</v>
      </c>
      <c r="D63" s="4"/>
      <c r="E63" s="4"/>
      <c r="F63" s="4">
        <v>3000</v>
      </c>
      <c r="G63" s="4"/>
    </row>
    <row r="64" spans="1:7">
      <c r="A64" s="4"/>
      <c r="B64" s="18" t="s">
        <v>347</v>
      </c>
      <c r="C64" s="6" t="s">
        <v>324</v>
      </c>
      <c r="D64" s="4"/>
      <c r="E64" s="4"/>
      <c r="F64" s="4">
        <v>3200</v>
      </c>
      <c r="G64" s="4"/>
    </row>
    <row r="65" spans="1:7">
      <c r="A65" s="4"/>
      <c r="B65" s="18" t="s">
        <v>348</v>
      </c>
      <c r="C65" s="6" t="s">
        <v>324</v>
      </c>
      <c r="D65" s="4"/>
      <c r="E65" s="4"/>
      <c r="F65" s="4">
        <v>3600</v>
      </c>
      <c r="G65" s="4"/>
    </row>
    <row r="66" spans="1:7">
      <c r="A66" s="4"/>
      <c r="B66" s="18" t="s">
        <v>349</v>
      </c>
      <c r="C66" s="6" t="s">
        <v>324</v>
      </c>
      <c r="D66" s="4"/>
      <c r="E66" s="4"/>
      <c r="F66" s="4">
        <v>4600</v>
      </c>
      <c r="G66" s="4"/>
    </row>
    <row r="67" spans="1:7">
      <c r="A67" s="4"/>
      <c r="B67" s="5"/>
      <c r="C67" s="6"/>
      <c r="D67" s="4"/>
      <c r="E67" s="4"/>
      <c r="F67" s="4"/>
      <c r="G67" s="4"/>
    </row>
    <row r="68" spans="1:7">
      <c r="A68" s="4"/>
      <c r="B68" s="17" t="s">
        <v>350</v>
      </c>
      <c r="C68" s="6"/>
      <c r="D68" s="4"/>
      <c r="E68" s="4"/>
      <c r="F68" s="4"/>
      <c r="G68" s="4"/>
    </row>
    <row r="69" spans="1:7">
      <c r="A69" s="4"/>
      <c r="B69" s="5" t="s">
        <v>351</v>
      </c>
      <c r="C69" s="6" t="s">
        <v>324</v>
      </c>
      <c r="D69" s="4">
        <v>685.52</v>
      </c>
      <c r="E69" s="4">
        <v>1.15</v>
      </c>
      <c r="F69" s="4">
        <f t="shared" ref="F69:F73" si="2">ROUND(D69*E69,-2)</f>
        <v>800</v>
      </c>
      <c r="G69" s="4"/>
    </row>
    <row r="70" spans="1:7">
      <c r="A70" s="4"/>
      <c r="B70" s="5" t="s">
        <v>352</v>
      </c>
      <c r="C70" s="6" t="s">
        <v>324</v>
      </c>
      <c r="D70" s="4">
        <v>832.88</v>
      </c>
      <c r="E70" s="4">
        <v>1.15</v>
      </c>
      <c r="F70" s="4">
        <f t="shared" si="2"/>
        <v>1000</v>
      </c>
      <c r="G70" s="4"/>
    </row>
    <row r="71" spans="1:7">
      <c r="A71" s="4"/>
      <c r="B71" s="5" t="s">
        <v>353</v>
      </c>
      <c r="C71" s="6" t="s">
        <v>324</v>
      </c>
      <c r="D71" s="4">
        <v>1297.25</v>
      </c>
      <c r="E71" s="4">
        <v>1.15</v>
      </c>
      <c r="F71" s="4">
        <f t="shared" si="2"/>
        <v>1500</v>
      </c>
      <c r="G71" s="4"/>
    </row>
    <row r="72" spans="1:7">
      <c r="A72" s="4"/>
      <c r="B72" s="5" t="s">
        <v>354</v>
      </c>
      <c r="C72" s="6" t="s">
        <v>324</v>
      </c>
      <c r="D72" s="4">
        <v>1791.88</v>
      </c>
      <c r="E72" s="4">
        <v>1.15</v>
      </c>
      <c r="F72" s="4">
        <f t="shared" si="2"/>
        <v>2100</v>
      </c>
      <c r="G72" s="4"/>
    </row>
    <row r="73" spans="1:7">
      <c r="A73" s="4"/>
      <c r="B73" s="5" t="s">
        <v>355</v>
      </c>
      <c r="C73" s="6" t="s">
        <v>324</v>
      </c>
      <c r="D73" s="4">
        <v>2909.01</v>
      </c>
      <c r="E73" s="4">
        <v>1.15</v>
      </c>
      <c r="F73" s="4">
        <f t="shared" si="2"/>
        <v>3300</v>
      </c>
      <c r="G73" s="4"/>
    </row>
    <row r="74" spans="1:7">
      <c r="A74" s="4"/>
      <c r="B74" s="5"/>
      <c r="C74" s="4"/>
      <c r="D74" s="4"/>
      <c r="E74" s="4"/>
      <c r="F74" s="4"/>
      <c r="G74" s="4"/>
    </row>
    <row r="75" spans="1:7">
      <c r="A75" s="4"/>
      <c r="B75" s="5"/>
      <c r="C75" s="4"/>
      <c r="D75" s="4"/>
      <c r="E75" s="4"/>
      <c r="F75" s="4"/>
      <c r="G75" s="4"/>
    </row>
    <row r="76" spans="1:7">
      <c r="A76" s="4"/>
      <c r="B76" s="5"/>
      <c r="C76" s="4"/>
      <c r="D76" s="4"/>
      <c r="E76" s="4"/>
      <c r="F76" s="4"/>
      <c r="G76" s="4"/>
    </row>
    <row r="77" spans="1:7">
      <c r="A77" s="4"/>
      <c r="B77" s="5"/>
      <c r="C77" s="4"/>
      <c r="D77" s="4"/>
      <c r="E77" s="4"/>
      <c r="F77" s="4"/>
      <c r="G77" s="4"/>
    </row>
    <row r="78" spans="1:7">
      <c r="A78" s="4"/>
      <c r="B78" s="5"/>
      <c r="C78" s="4"/>
      <c r="D78" s="4"/>
      <c r="E78" s="4"/>
      <c r="F78" s="4"/>
      <c r="G78" s="4"/>
    </row>
    <row r="79" spans="1:7">
      <c r="A79" s="4"/>
      <c r="B79" s="16" t="s">
        <v>163</v>
      </c>
      <c r="C79" s="4"/>
      <c r="D79" s="4"/>
      <c r="E79" s="4"/>
      <c r="F79" s="4"/>
      <c r="G79" s="4"/>
    </row>
    <row r="80" spans="1:7">
      <c r="A80" s="4"/>
      <c r="B80" s="5" t="s">
        <v>356</v>
      </c>
      <c r="C80" s="6" t="s">
        <v>329</v>
      </c>
      <c r="D80" s="4">
        <v>600000</v>
      </c>
      <c r="E80" s="4">
        <v>1</v>
      </c>
      <c r="F80" s="4">
        <f>D80*E80</f>
        <v>600000</v>
      </c>
      <c r="G80" s="4"/>
    </row>
    <row r="81" spans="1:7">
      <c r="A81" s="4"/>
      <c r="B81" s="5" t="s">
        <v>357</v>
      </c>
      <c r="C81" s="6" t="s">
        <v>329</v>
      </c>
      <c r="D81" s="4">
        <v>450000</v>
      </c>
      <c r="E81" s="4">
        <v>1</v>
      </c>
      <c r="F81" s="4">
        <f>D81*E81</f>
        <v>450000</v>
      </c>
      <c r="G81" s="4"/>
    </row>
    <row r="82" spans="1:7">
      <c r="A82" s="4"/>
      <c r="B82" s="5" t="s">
        <v>358</v>
      </c>
      <c r="C82" s="6" t="s">
        <v>329</v>
      </c>
      <c r="D82" s="4">
        <f>1200*4*2.5</f>
        <v>12000</v>
      </c>
      <c r="E82" s="4">
        <v>1</v>
      </c>
      <c r="F82" s="4">
        <f t="shared" ref="F82:F88" si="3">D82*E82</f>
        <v>12000</v>
      </c>
      <c r="G82" s="4"/>
    </row>
    <row r="83" spans="1:7">
      <c r="A83" s="4"/>
      <c r="B83" s="5" t="s">
        <v>359</v>
      </c>
      <c r="C83" s="6" t="s">
        <v>329</v>
      </c>
      <c r="D83" s="4">
        <f>1200*1.5*0.45</f>
        <v>810</v>
      </c>
      <c r="E83" s="4">
        <v>1</v>
      </c>
      <c r="F83" s="4">
        <f t="shared" si="3"/>
        <v>810</v>
      </c>
      <c r="G83" s="4"/>
    </row>
    <row r="84" spans="1:7">
      <c r="A84" s="4"/>
      <c r="B84" s="5" t="s">
        <v>360</v>
      </c>
      <c r="C84" s="6" t="s">
        <v>329</v>
      </c>
      <c r="D84" s="9">
        <f>1200*3.1416*0.8*0.8*0.25</f>
        <v>603.1872</v>
      </c>
      <c r="E84" s="4">
        <v>1</v>
      </c>
      <c r="F84" s="4">
        <v>610</v>
      </c>
      <c r="G84" s="4"/>
    </row>
    <row r="85" spans="1:7">
      <c r="A85" s="4"/>
      <c r="B85" s="5" t="s">
        <v>361</v>
      </c>
      <c r="C85" s="6" t="s">
        <v>22</v>
      </c>
      <c r="D85" s="9">
        <v>119.67</v>
      </c>
      <c r="E85" s="4">
        <v>1</v>
      </c>
      <c r="F85" s="4">
        <v>120</v>
      </c>
      <c r="G85" s="4"/>
    </row>
    <row r="86" spans="1:7">
      <c r="A86" s="4"/>
      <c r="B86" s="5" t="s">
        <v>362</v>
      </c>
      <c r="C86" s="6" t="s">
        <v>329</v>
      </c>
      <c r="D86" s="4">
        <v>250</v>
      </c>
      <c r="E86" s="4">
        <v>1</v>
      </c>
      <c r="F86" s="4">
        <f t="shared" si="3"/>
        <v>250</v>
      </c>
      <c r="G86" s="4"/>
    </row>
    <row r="87" spans="1:7">
      <c r="A87" s="4"/>
      <c r="B87" s="5" t="s">
        <v>363</v>
      </c>
      <c r="C87" s="6" t="s">
        <v>364</v>
      </c>
      <c r="D87" s="4">
        <v>250</v>
      </c>
      <c r="E87" s="4">
        <v>1</v>
      </c>
      <c r="F87" s="4">
        <f t="shared" si="3"/>
        <v>250</v>
      </c>
      <c r="G87" s="4"/>
    </row>
    <row r="88" spans="1:7">
      <c r="A88" s="4"/>
      <c r="B88" s="5" t="s">
        <v>365</v>
      </c>
      <c r="C88" s="6" t="s">
        <v>329</v>
      </c>
      <c r="D88" s="4">
        <v>100000</v>
      </c>
      <c r="E88" s="4">
        <v>1</v>
      </c>
      <c r="F88" s="4">
        <f t="shared" si="3"/>
        <v>100000</v>
      </c>
      <c r="G88" s="4"/>
    </row>
    <row r="89" spans="1:7">
      <c r="A89" s="4"/>
      <c r="B89" s="5" t="s">
        <v>366</v>
      </c>
      <c r="C89" s="6" t="s">
        <v>324</v>
      </c>
      <c r="D89" s="4">
        <v>300</v>
      </c>
      <c r="E89" s="4">
        <v>1</v>
      </c>
      <c r="F89" s="4">
        <f t="shared" ref="F89:F90" si="4">D89*E89</f>
        <v>300</v>
      </c>
      <c r="G89" s="4"/>
    </row>
    <row r="90" spans="1:7">
      <c r="A90" s="4"/>
      <c r="B90" s="5" t="s">
        <v>367</v>
      </c>
      <c r="C90" s="6" t="s">
        <v>324</v>
      </c>
      <c r="D90" s="4">
        <v>350</v>
      </c>
      <c r="E90" s="4">
        <v>1</v>
      </c>
      <c r="F90" s="4">
        <f t="shared" si="4"/>
        <v>350</v>
      </c>
      <c r="G90" s="4"/>
    </row>
    <row r="91" spans="1:7">
      <c r="A91" s="4"/>
      <c r="B91" s="19" t="s">
        <v>368</v>
      </c>
      <c r="C91" s="6" t="s">
        <v>324</v>
      </c>
      <c r="D91" s="9">
        <v>870.41</v>
      </c>
      <c r="E91" s="4">
        <v>1</v>
      </c>
      <c r="F91" s="4">
        <v>900</v>
      </c>
      <c r="G91" s="4"/>
    </row>
    <row r="92" spans="1:7">
      <c r="A92" s="4"/>
      <c r="B92" s="19" t="s">
        <v>369</v>
      </c>
      <c r="C92" s="6" t="s">
        <v>324</v>
      </c>
      <c r="D92" s="9">
        <v>548.74</v>
      </c>
      <c r="E92" s="4">
        <v>1</v>
      </c>
      <c r="F92" s="4">
        <v>600</v>
      </c>
      <c r="G92" s="4"/>
    </row>
    <row r="93" spans="2:2">
      <c r="B93" s="15"/>
    </row>
    <row r="94" spans="1:7">
      <c r="A94" s="4"/>
      <c r="B94" s="16" t="s">
        <v>165</v>
      </c>
      <c r="C94" s="4"/>
      <c r="D94" s="4"/>
      <c r="E94" s="4"/>
      <c r="F94" s="4"/>
      <c r="G94" s="4"/>
    </row>
    <row r="95" spans="1:7">
      <c r="A95" s="4"/>
      <c r="B95" s="20" t="s">
        <v>370</v>
      </c>
      <c r="C95" s="6" t="s">
        <v>371</v>
      </c>
      <c r="D95" s="21">
        <v>80000</v>
      </c>
      <c r="E95" s="4">
        <v>1</v>
      </c>
      <c r="F95" s="4">
        <f>D95*E95</f>
        <v>80000</v>
      </c>
      <c r="G95" s="4"/>
    </row>
    <row r="96" spans="1:7">
      <c r="A96" s="4"/>
      <c r="B96" s="20" t="s">
        <v>372</v>
      </c>
      <c r="C96" s="6" t="s">
        <v>373</v>
      </c>
      <c r="D96" s="21">
        <v>160000</v>
      </c>
      <c r="E96" s="4">
        <v>1</v>
      </c>
      <c r="F96" s="4">
        <f t="shared" ref="F96:F102" si="5">D96*E96</f>
        <v>160000</v>
      </c>
      <c r="G96" s="4"/>
    </row>
    <row r="97" spans="1:7">
      <c r="A97" s="4"/>
      <c r="B97" s="22" t="s">
        <v>374</v>
      </c>
      <c r="C97" s="6" t="s">
        <v>371</v>
      </c>
      <c r="D97" s="21">
        <v>30000</v>
      </c>
      <c r="E97" s="4">
        <v>1</v>
      </c>
      <c r="F97" s="4">
        <f t="shared" ref="F97" si="6">D97*E97</f>
        <v>30000</v>
      </c>
      <c r="G97" s="4"/>
    </row>
    <row r="98" spans="1:7">
      <c r="A98" s="4"/>
      <c r="B98" s="20" t="s">
        <v>375</v>
      </c>
      <c r="C98" s="6" t="s">
        <v>324</v>
      </c>
      <c r="D98" s="21">
        <v>381.45</v>
      </c>
      <c r="E98" s="4">
        <v>1</v>
      </c>
      <c r="F98" s="4">
        <v>400</v>
      </c>
      <c r="G98" s="4"/>
    </row>
    <row r="99" spans="1:7">
      <c r="A99" s="4"/>
      <c r="B99" s="22" t="s">
        <v>376</v>
      </c>
      <c r="C99" s="6" t="s">
        <v>324</v>
      </c>
      <c r="D99" s="21">
        <v>397.53</v>
      </c>
      <c r="E99" s="4">
        <v>1</v>
      </c>
      <c r="F99" s="4">
        <v>500</v>
      </c>
      <c r="G99" s="4"/>
    </row>
    <row r="100" spans="1:7">
      <c r="A100" s="4"/>
      <c r="B100" s="22" t="s">
        <v>377</v>
      </c>
      <c r="C100" s="6" t="s">
        <v>324</v>
      </c>
      <c r="D100" s="21">
        <v>318.64</v>
      </c>
      <c r="E100" s="4">
        <v>1</v>
      </c>
      <c r="F100" s="4">
        <v>350</v>
      </c>
      <c r="G100" s="4"/>
    </row>
    <row r="101" spans="1:7">
      <c r="A101" s="4"/>
      <c r="B101" s="20" t="s">
        <v>378</v>
      </c>
      <c r="C101" s="6" t="s">
        <v>324</v>
      </c>
      <c r="D101" s="21">
        <v>3500</v>
      </c>
      <c r="E101" s="4">
        <v>1</v>
      </c>
      <c r="F101" s="4">
        <f t="shared" si="5"/>
        <v>3500</v>
      </c>
      <c r="G101" s="4"/>
    </row>
    <row r="102" spans="1:7">
      <c r="A102" s="4"/>
      <c r="B102" s="20" t="s">
        <v>379</v>
      </c>
      <c r="C102" s="6" t="s">
        <v>324</v>
      </c>
      <c r="D102" s="21">
        <f>200*12</f>
        <v>2400</v>
      </c>
      <c r="E102" s="4">
        <v>1</v>
      </c>
      <c r="F102" s="4">
        <f t="shared" si="5"/>
        <v>2400</v>
      </c>
      <c r="G102" s="4"/>
    </row>
    <row r="103" spans="2:2">
      <c r="B103" s="15"/>
    </row>
    <row r="104" spans="1:7">
      <c r="A104" s="4"/>
      <c r="B104" s="16" t="s">
        <v>164</v>
      </c>
      <c r="C104" s="4"/>
      <c r="D104" s="4"/>
      <c r="E104" s="4"/>
      <c r="F104" s="4"/>
      <c r="G104" s="4"/>
    </row>
    <row r="105" spans="1:7">
      <c r="A105" s="4"/>
      <c r="B105" s="5" t="s">
        <v>380</v>
      </c>
      <c r="C105" s="6" t="s">
        <v>381</v>
      </c>
      <c r="D105" s="21">
        <v>2311.92</v>
      </c>
      <c r="E105" s="4">
        <v>1</v>
      </c>
      <c r="F105" s="4">
        <v>2300</v>
      </c>
      <c r="G105" s="4"/>
    </row>
    <row r="106" spans="1:7">
      <c r="A106" s="4"/>
      <c r="B106" s="5" t="s">
        <v>382</v>
      </c>
      <c r="C106" s="6" t="s">
        <v>381</v>
      </c>
      <c r="D106" s="21">
        <v>1968.31</v>
      </c>
      <c r="E106" s="4">
        <v>1</v>
      </c>
      <c r="F106" s="4">
        <v>1900</v>
      </c>
      <c r="G106" s="4"/>
    </row>
    <row r="107" spans="1:7">
      <c r="A107" s="4"/>
      <c r="B107" s="5" t="s">
        <v>383</v>
      </c>
      <c r="C107" s="6" t="s">
        <v>381</v>
      </c>
      <c r="D107" s="21">
        <v>3686.33</v>
      </c>
      <c r="E107" s="4">
        <v>1</v>
      </c>
      <c r="F107" s="4">
        <v>3700</v>
      </c>
      <c r="G107" s="4"/>
    </row>
    <row r="108" spans="1:7">
      <c r="A108" s="4"/>
      <c r="B108" s="5" t="s">
        <v>384</v>
      </c>
      <c r="C108" s="6" t="s">
        <v>381</v>
      </c>
      <c r="D108" s="21">
        <v>2311.91</v>
      </c>
      <c r="E108" s="4">
        <v>1</v>
      </c>
      <c r="F108" s="4">
        <v>2300</v>
      </c>
      <c r="G108" s="4"/>
    </row>
    <row r="109" spans="1:7">
      <c r="A109" s="4"/>
      <c r="B109" s="23" t="s">
        <v>385</v>
      </c>
      <c r="C109" s="6" t="s">
        <v>381</v>
      </c>
      <c r="D109" s="21">
        <v>7236.91</v>
      </c>
      <c r="E109" s="4">
        <v>1</v>
      </c>
      <c r="F109" s="4">
        <v>7300</v>
      </c>
      <c r="G109" s="4"/>
    </row>
    <row r="110" spans="1:7">
      <c r="A110" s="4"/>
      <c r="B110" s="23" t="s">
        <v>386</v>
      </c>
      <c r="C110" s="6" t="s">
        <v>381</v>
      </c>
      <c r="D110" s="21">
        <v>5805.23</v>
      </c>
      <c r="E110" s="4">
        <v>1</v>
      </c>
      <c r="F110" s="4">
        <v>5900</v>
      </c>
      <c r="G110" s="4"/>
    </row>
    <row r="111" spans="1:7">
      <c r="A111" s="4"/>
      <c r="B111" s="23" t="s">
        <v>387</v>
      </c>
      <c r="C111" s="6" t="s">
        <v>381</v>
      </c>
      <c r="D111" s="21">
        <v>2884.59</v>
      </c>
      <c r="E111" s="4">
        <v>1</v>
      </c>
      <c r="F111" s="4">
        <v>2900</v>
      </c>
      <c r="G111" s="4"/>
    </row>
    <row r="112" spans="1:7">
      <c r="A112" s="4"/>
      <c r="B112" s="23" t="s">
        <v>388</v>
      </c>
      <c r="C112" s="6" t="s">
        <v>381</v>
      </c>
      <c r="D112" s="21">
        <v>6730.92</v>
      </c>
      <c r="E112" s="4">
        <v>1</v>
      </c>
      <c r="F112" s="4">
        <v>6800</v>
      </c>
      <c r="G112" s="4"/>
    </row>
    <row r="113" spans="1:7">
      <c r="A113" s="4"/>
      <c r="B113" s="23" t="s">
        <v>389</v>
      </c>
      <c r="C113" s="6" t="s">
        <v>22</v>
      </c>
      <c r="D113" s="21">
        <v>300</v>
      </c>
      <c r="E113" s="4">
        <v>1</v>
      </c>
      <c r="F113" s="4">
        <v>300</v>
      </c>
      <c r="G113" s="4"/>
    </row>
    <row r="114" spans="1:7">
      <c r="A114" s="4"/>
      <c r="B114" s="5" t="s">
        <v>390</v>
      </c>
      <c r="C114" s="6" t="s">
        <v>371</v>
      </c>
      <c r="D114" s="21">
        <v>1432.75</v>
      </c>
      <c r="E114" s="4">
        <v>1</v>
      </c>
      <c r="F114" s="4">
        <v>1450</v>
      </c>
      <c r="G114" s="4"/>
    </row>
    <row r="115" spans="1:7">
      <c r="A115" s="4"/>
      <c r="B115" s="5" t="s">
        <v>391</v>
      </c>
      <c r="C115" s="6" t="s">
        <v>371</v>
      </c>
      <c r="D115" s="21">
        <v>500</v>
      </c>
      <c r="E115" s="4">
        <v>1</v>
      </c>
      <c r="F115" s="4">
        <f t="shared" ref="F115" si="7">D115*E115</f>
        <v>500</v>
      </c>
      <c r="G115" s="4"/>
    </row>
  </sheetData>
  <conditionalFormatting sqref="B60">
    <cfRule type="duplicateValues" dxfId="3" priority="4"/>
  </conditionalFormatting>
  <conditionalFormatting sqref="B62">
    <cfRule type="duplicateValues" dxfId="3" priority="5"/>
  </conditionalFormatting>
  <conditionalFormatting sqref="B63">
    <cfRule type="duplicateValues" dxfId="3" priority="1"/>
  </conditionalFormatting>
  <conditionalFormatting sqref="B64">
    <cfRule type="duplicateValues" dxfId="3" priority="3"/>
  </conditionalFormatting>
  <conditionalFormatting sqref="B65">
    <cfRule type="duplicateValues" dxfId="3" priority="2"/>
  </conditionalFormatting>
  <conditionalFormatting sqref="B61 B66">
    <cfRule type="duplicateValues" dxfId="3" priority="6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zb-推荐方案</vt:lpstr>
      <vt:lpstr>zb-推荐方案0108</vt:lpstr>
      <vt:lpstr>审定概算</vt:lpstr>
      <vt:lpstr>对比表</vt:lpstr>
      <vt:lpstr>zb-推荐方案 1205</vt:lpstr>
      <vt:lpstr>zb-推荐方案 1118</vt:lpstr>
      <vt:lpstr>zb-推荐方案 1105</vt:lpstr>
      <vt:lpstr>zb-推荐方案 (2)</vt:lpstr>
      <vt:lpstr>单价表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张清远</dc:creator>
  <cp:lastModifiedBy>蒙凯</cp:lastModifiedBy>
  <dcterms:created xsi:type="dcterms:W3CDTF">2006-09-13T19:21:00Z</dcterms:created>
  <cp:lastPrinted>2024-07-25T10:48:00Z</cp:lastPrinted>
  <dcterms:modified xsi:type="dcterms:W3CDTF">2025-06-13T07:33:45Z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3184BDD7815C426B954094F1B16BFD88</vt:lpwstr>
  </property>
  <property fmtid="{D5CDD505-2E9C-101B-9397-08002B2CF9AE}" pid="4" name="KSOReadingLayout">
    <vt:bool>true</vt:bool>
  </property>
</Properties>
</file>