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41" activeTab="2"/>
  </bookViews>
  <sheets>
    <sheet name="修改后送审概算汇总表（未更新，不需要）" sheetId="1" r:id="rId1"/>
    <sheet name="审定概算汇总表" sheetId="2" r:id="rId2"/>
    <sheet name="汇总对比表" sheetId="3" r:id="rId3"/>
  </sheets>
  <definedNames>
    <definedName name="_xlnm.Print_Area" localSheetId="0">'修改后送审概算汇总表（未更新，不需要）'!$A$1:$N$83</definedName>
    <definedName name="_xlnm.Print_Titles" localSheetId="0">'修改后送审概算汇总表（未更新，不需要）'!$1:$5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<sst xmlns="http://schemas.openxmlformats.org/spreadsheetml/2006/main" count="380" uniqueCount="230">
  <si>
    <t>概算汇总表</t>
  </si>
  <si>
    <t>建设项目名称：三亚市临春片区棚户区改造配套基础设施（一期）项目（临川路-临春环路南段）</t>
  </si>
  <si>
    <t>项</t>
  </si>
  <si>
    <t>目</t>
  </si>
  <si>
    <t>节</t>
  </si>
  <si>
    <t>细
目</t>
  </si>
  <si>
    <t>工程或费用名称</t>
  </si>
  <si>
    <t>概算金额(万元)</t>
  </si>
  <si>
    <t>技术经济指标</t>
  </si>
  <si>
    <t>备注</t>
  </si>
  <si>
    <t>估算批复</t>
  </si>
  <si>
    <t>长度/宽度</t>
  </si>
  <si>
    <t>所占比例</t>
  </si>
  <si>
    <t>与估算对比</t>
  </si>
  <si>
    <t>增减主要原因</t>
  </si>
  <si>
    <t>建筑工程</t>
  </si>
  <si>
    <t>安装工程</t>
  </si>
  <si>
    <t>设备及工
器具购置</t>
  </si>
  <si>
    <t>其他费用</t>
  </si>
  <si>
    <t>合计</t>
  </si>
  <si>
    <t>单位</t>
  </si>
  <si>
    <t>数量</t>
  </si>
  <si>
    <t>单位价值
(元)</t>
  </si>
  <si>
    <t>第一部分工程费用</t>
  </si>
  <si>
    <r>
      <rPr>
        <b/>
        <sz val="14"/>
        <rFont val="宋体"/>
        <charset val="134"/>
      </rPr>
      <t>m</t>
    </r>
    <r>
      <rPr>
        <b/>
        <vertAlign val="superscript"/>
        <sz val="14"/>
        <rFont val="宋体"/>
        <charset val="134"/>
      </rPr>
      <t>2</t>
    </r>
  </si>
  <si>
    <t>临川路</t>
  </si>
  <si>
    <t>城市次干路
、红线含2109.61m2绿地面积</t>
  </si>
  <si>
    <t>981.623/22-40</t>
  </si>
  <si>
    <t>临川路 道路工程</t>
  </si>
  <si>
    <t>m2</t>
  </si>
  <si>
    <t>临川路 交通工程</t>
  </si>
  <si>
    <t>临川路 涵洞工程</t>
  </si>
  <si>
    <t>钢筋混凝土箱涵(2-4.0*2.0m、22.64m)</t>
  </si>
  <si>
    <t>临川路 给水工程</t>
  </si>
  <si>
    <t>临川路 再生水工程</t>
  </si>
  <si>
    <t>临川路 雨水工程</t>
  </si>
  <si>
    <t>临川路 污水工程</t>
  </si>
  <si>
    <t>临川路 电力工程</t>
  </si>
  <si>
    <t>临川路 通信工程</t>
  </si>
  <si>
    <t>临川路 照明工程</t>
  </si>
  <si>
    <t>临川路 绿化工程</t>
  </si>
  <si>
    <t>临春环路南段</t>
  </si>
  <si>
    <t>城市支路</t>
  </si>
  <si>
    <t>730.997/22</t>
  </si>
  <si>
    <t>临春环路南段 道路工程</t>
  </si>
  <si>
    <t>临春环路南段 交通工程</t>
  </si>
  <si>
    <t>临春环路南段 涵洞工程</t>
  </si>
  <si>
    <t>钢筋混凝土箱涵(2-4.0*2.0m、23.14m)</t>
  </si>
  <si>
    <t>临春环路南段 给水工程</t>
  </si>
  <si>
    <t>临春环路南段 雨水工程</t>
  </si>
  <si>
    <t>临春环路南段 污水工程</t>
  </si>
  <si>
    <t>临春环路南段 电力工程</t>
  </si>
  <si>
    <t>临春环路南段 通信工程</t>
  </si>
  <si>
    <t>临春环路南段 照明工程</t>
  </si>
  <si>
    <t>临春环路南段 绿化工程</t>
  </si>
  <si>
    <t>一、二标段建安费</t>
  </si>
  <si>
    <t>一、二标段工可批复总投资（扣建设用地及管线迁改）</t>
  </si>
  <si>
    <t>一标段建安费</t>
  </si>
  <si>
    <t>二标段建安费</t>
  </si>
  <si>
    <t>一标段建安费占比</t>
  </si>
  <si>
    <t>二标段建安费占比</t>
  </si>
  <si>
    <t>第一部分费用合计</t>
  </si>
  <si>
    <t xml:space="preserve">第二部分工程建设其他费用 </t>
  </si>
  <si>
    <t>建设用地费及管线迁移</t>
  </si>
  <si>
    <t>建设用地费</t>
  </si>
  <si>
    <t>关于商请再次提供临春片区棚户区改造配套基础设施（一期）项目征拆测算明细表的复函</t>
  </si>
  <si>
    <t>管线改迁</t>
  </si>
  <si>
    <t>含一、二标段管线迁移</t>
  </si>
  <si>
    <t>电力迁改</t>
  </si>
  <si>
    <t>依据产权单位方案及报价计列</t>
  </si>
  <si>
    <t>通信迁改-电信</t>
  </si>
  <si>
    <t>通信迁改-联通</t>
  </si>
  <si>
    <t>通信迁改-移动</t>
  </si>
  <si>
    <t>暂估</t>
  </si>
  <si>
    <t>通信迁改-国防光缆</t>
  </si>
  <si>
    <t>迁移路灯（含线路）-临川路</t>
  </si>
  <si>
    <t>1杆*5000元，单价暂估</t>
  </si>
  <si>
    <t>迁移监控-临川路</t>
  </si>
  <si>
    <t>迁移路灯（含线路）-临春环路北段</t>
  </si>
  <si>
    <t>古树迁移（二标段内容）</t>
  </si>
  <si>
    <t>共5株暂估，需产权单位方案及报价计列（含可行性报告编制、设计方案编制、古树迁移施工费）</t>
  </si>
  <si>
    <t>建设单位管理费</t>
  </si>
  <si>
    <t>财建[2016]504号文
公式：(140+(（一、二标段工可批复总投资（扣建设用地及管线迁改））-10000)*1%)</t>
  </si>
  <si>
    <t>工程建设监理费</t>
  </si>
  <si>
    <t>参考发改价格[2007]670号
\琼价费管[2011]213号调整,八折计取
公式：(181+(（一、二标段建安费）-8000)/2000*(218.6-181))*0.8</t>
  </si>
  <si>
    <t>建设项目前期工作费</t>
  </si>
  <si>
    <t>编制可行性研究报告</t>
  </si>
  <si>
    <t>按合同计</t>
  </si>
  <si>
    <t>社会稳定性报告评估编制费、评估费</t>
  </si>
  <si>
    <t>片区已统一编制稳评，不计入本项目投资</t>
  </si>
  <si>
    <t>工程设计费</t>
  </si>
  <si>
    <t>工程测量勘察费</t>
  </si>
  <si>
    <t>工程测绘费（含物探费）</t>
  </si>
  <si>
    <t>按合同计+（一、二标段物探面积-5842.09（原合同面积））*1+划拨供地费</t>
  </si>
  <si>
    <t>工程勘察费</t>
  </si>
  <si>
    <t>场地准备及临时设施</t>
  </si>
  <si>
    <t>（一、二标段建安费）×0.5%</t>
  </si>
  <si>
    <t>工程保险费</t>
  </si>
  <si>
    <t>（一、二标段建安费）×0.3%</t>
  </si>
  <si>
    <t>工程量清单编制费（含招标控制价）</t>
  </si>
  <si>
    <t>招标代理服务费</t>
  </si>
  <si>
    <r>
      <rPr>
        <sz val="14"/>
        <rFont val="宋体"/>
        <charset val="134"/>
      </rPr>
      <t>参考计价格</t>
    </r>
    <r>
      <rPr>
        <sz val="14"/>
        <rFont val="Times New Roman"/>
        <charset val="134"/>
      </rPr>
      <t>[2011]225</t>
    </r>
    <r>
      <rPr>
        <sz val="14"/>
        <rFont val="宋体"/>
        <charset val="134"/>
      </rPr>
      <t>号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国家计委计价格</t>
    </r>
    <r>
      <rPr>
        <sz val="14"/>
        <rFont val="Times New Roman"/>
        <charset val="134"/>
      </rPr>
      <t>[2002]1980</t>
    </r>
    <r>
      <rPr>
        <sz val="14"/>
        <rFont val="宋体"/>
        <charset val="134"/>
      </rPr>
      <t>号，八折计取</t>
    </r>
  </si>
  <si>
    <t>工程招标</t>
  </si>
  <si>
    <t>(100*1%+(500-100)*0.7%+(1000-500)*0.55%+(5000-1000)*0.35%+(（一、二标段建安费）-5000)*0.2%)*0.8</t>
  </si>
  <si>
    <t>服务招标</t>
  </si>
  <si>
    <t>设计招标</t>
  </si>
  <si>
    <t>监理招标</t>
  </si>
  <si>
    <t>(100*1.5/100+(（一、二标段监理工程费）-100)*0.8/100)*0.8</t>
  </si>
  <si>
    <t>施工图审查费</t>
  </si>
  <si>
    <t>结算审核费</t>
  </si>
  <si>
    <t>琼价协[2020]01号，八折计取
公式：((500*4.9+500*4.4+4000*3.8)/1000+(（一、二标段建安费）-5000)*3.3/1000)*0.8</t>
  </si>
  <si>
    <t>水土保持咨询服务费</t>
  </si>
  <si>
    <t>水土保持方案编制费、监测费</t>
  </si>
  <si>
    <t>水土保持设施竣工验收技术评估报告编制费</t>
  </si>
  <si>
    <t>按保监【2005】22号，五折计
公式：(18+(（一、二标段工可批复总投资（扣建设用地及管线迁改）-10000)/(20000-10000)*(30-18))*0.5</t>
  </si>
  <si>
    <t>水土保持补偿费</t>
  </si>
  <si>
    <t>琼发改收费〔2021〕716号，（一、二标段用地面积）*1.5（元/m2）</t>
  </si>
  <si>
    <t>节约集约用地专章</t>
  </si>
  <si>
    <t>交通影响分析评价报告费</t>
  </si>
  <si>
    <t>工程质量检测费</t>
  </si>
  <si>
    <t>（一、二标段建安费）*0.7%</t>
  </si>
  <si>
    <t>供电外线及接驳费（一标段内容）</t>
  </si>
  <si>
    <t>含高压电缆、保护管及接驳费，暂按50万/处计，计入一标段</t>
  </si>
  <si>
    <t>DN800供水管接驳费（二标段内容）</t>
  </si>
  <si>
    <t>三环投函[2024]220号，关于征询三亚市临春片区棚户区改造配套基础设施（一期）项目给水管网迁改意见的复函，费用暂估</t>
  </si>
  <si>
    <t>规划验线费</t>
  </si>
  <si>
    <t>竣工决算编制费</t>
  </si>
  <si>
    <t>参考 《三亚市政府投资建设项目竣工结（决）算监督管理办法》，费用暂估（含一、二标段费用）</t>
  </si>
  <si>
    <t>防洪评价费</t>
  </si>
  <si>
    <t>工程款支付担保费</t>
  </si>
  <si>
    <t>琼建管[2024]112号，工期2年，费率3.45%
公式：(1000*10%+(（一、二标段建安费）-1000)*5%)*2*3.45%</t>
  </si>
  <si>
    <t>第二部分费用合计</t>
  </si>
  <si>
    <t>第一、二部分费用合计</t>
  </si>
  <si>
    <t>第三部分预备费用</t>
  </si>
  <si>
    <t>基本预备费  5%</t>
  </si>
  <si>
    <t>（（一、二标段建安费）+（一、二标段其他费）-建设用地费）*5%</t>
  </si>
  <si>
    <t>第一、二、三部分费用合计</t>
  </si>
  <si>
    <t>序号</t>
  </si>
  <si>
    <t>费用名称</t>
  </si>
  <si>
    <t>金额（万元）</t>
  </si>
  <si>
    <t>所占比例（%）</t>
  </si>
  <si>
    <t>经济指标（元/m2）</t>
  </si>
  <si>
    <t>工程费用</t>
  </si>
  <si>
    <t>其中：道路工程</t>
  </si>
  <si>
    <t>其中：给排水工程</t>
  </si>
  <si>
    <t>工程建设其他费用</t>
  </si>
  <si>
    <t>其中：建设用地费及管线迁移</t>
  </si>
  <si>
    <t>含征地拆迁及管线迁移</t>
  </si>
  <si>
    <t>预备费用</t>
  </si>
  <si>
    <t>建设期利息</t>
  </si>
  <si>
    <t>铺底流动资金</t>
  </si>
  <si>
    <t>建设项目名称：三亚市临春片区棚户区改造配套基础设施（一期）项目</t>
  </si>
  <si>
    <r>
      <rPr>
        <b/>
        <sz val="11"/>
        <color theme="1"/>
        <rFont val="宋体"/>
        <charset val="134"/>
      </rPr>
      <t>概算金额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宋体"/>
        <charset val="134"/>
      </rPr>
      <t>万元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</si>
  <si>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设备及工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器具购置</t>
    </r>
  </si>
  <si>
    <r>
      <rPr>
        <b/>
        <sz val="11"/>
        <color theme="1"/>
        <rFont val="宋体"/>
        <charset val="134"/>
      </rPr>
      <t>单位价值</t>
    </r>
    <r>
      <rPr>
        <b/>
        <sz val="11"/>
        <color theme="1"/>
        <rFont val="Times New Roman"/>
        <charset val="134"/>
      </rPr>
      <t xml:space="preserve">
(</t>
    </r>
    <r>
      <rPr>
        <b/>
        <sz val="11"/>
        <color theme="1"/>
        <rFont val="宋体"/>
        <charset val="134"/>
      </rPr>
      <t>元</t>
    </r>
    <r>
      <rPr>
        <b/>
        <sz val="11"/>
        <color theme="1"/>
        <rFont val="Times New Roman"/>
        <charset val="134"/>
      </rPr>
      <t>)</t>
    </r>
  </si>
  <si>
    <t>一</t>
  </si>
  <si>
    <r>
      <rPr>
        <b/>
        <sz val="11"/>
        <color theme="1"/>
        <rFont val="Times New Roman"/>
        <charset val="134"/>
      </rPr>
      <t>m</t>
    </r>
    <r>
      <rPr>
        <b/>
        <vertAlign val="superscript"/>
        <sz val="11"/>
        <color theme="1"/>
        <rFont val="Times New Roman"/>
        <charset val="134"/>
      </rPr>
      <t>2</t>
    </r>
  </si>
  <si>
    <t>道路工程</t>
  </si>
  <si>
    <r>
      <rPr>
        <sz val="11"/>
        <color theme="1"/>
        <rFont val="Times New Roman"/>
        <charset val="134"/>
      </rPr>
      <t>m</t>
    </r>
    <r>
      <rPr>
        <vertAlign val="superscript"/>
        <sz val="11"/>
        <color theme="1"/>
        <rFont val="Times New Roman"/>
        <charset val="134"/>
      </rPr>
      <t>2</t>
    </r>
  </si>
  <si>
    <t>交通工程</t>
  </si>
  <si>
    <t>涵洞工程</t>
  </si>
  <si>
    <t>给水工程</t>
  </si>
  <si>
    <t>再生水工程</t>
  </si>
  <si>
    <t>雨水工程</t>
  </si>
  <si>
    <t>污水工程</t>
  </si>
  <si>
    <t>电力工程</t>
  </si>
  <si>
    <t>通信工程</t>
  </si>
  <si>
    <t>照明工程</t>
  </si>
  <si>
    <t>绿化工程</t>
  </si>
  <si>
    <t>临秀路</t>
  </si>
  <si>
    <t>已批复</t>
  </si>
  <si>
    <t>临春环路北段</t>
  </si>
  <si>
    <t>二</t>
  </si>
  <si>
    <r>
      <rPr>
        <b/>
        <sz val="11"/>
        <color theme="1"/>
        <rFont val="宋体"/>
        <charset val="134"/>
      </rPr>
      <t>工程建设其他费用</t>
    </r>
    <r>
      <rPr>
        <b/>
        <sz val="11"/>
        <color theme="1"/>
        <rFont val="Times New Roman"/>
        <charset val="134"/>
      </rPr>
      <t xml:space="preserve"> </t>
    </r>
  </si>
  <si>
    <t>1.2.1</t>
  </si>
  <si>
    <t>依据产权单位方案及报价计列。</t>
  </si>
  <si>
    <t>1.2.2</t>
  </si>
  <si>
    <r>
      <rPr>
        <sz val="11"/>
        <rFont val="宋体"/>
        <charset val="134"/>
      </rPr>
      <t>通信迁改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电信</t>
    </r>
  </si>
  <si>
    <t>依据产权单位报价计列。</t>
  </si>
  <si>
    <t>1.2.3</t>
  </si>
  <si>
    <r>
      <rPr>
        <sz val="11"/>
        <rFont val="宋体"/>
        <charset val="134"/>
      </rPr>
      <t>通信迁改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联通</t>
    </r>
  </si>
  <si>
    <t>1.2.4</t>
  </si>
  <si>
    <r>
      <rPr>
        <sz val="11"/>
        <rFont val="宋体"/>
        <charset val="134"/>
      </rPr>
      <t>通信迁改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移动</t>
    </r>
  </si>
  <si>
    <t>暂按修编金额列入，最终以实际发生为准。</t>
  </si>
  <si>
    <t>1.2.5</t>
  </si>
  <si>
    <r>
      <rPr>
        <sz val="11"/>
        <rFont val="宋体"/>
        <charset val="134"/>
      </rPr>
      <t>通信迁改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国防光缆</t>
    </r>
  </si>
  <si>
    <t>1.2.6</t>
  </si>
  <si>
    <r>
      <rPr>
        <sz val="11"/>
        <rFont val="宋体"/>
        <charset val="134"/>
      </rPr>
      <t>迁移路灯（含线路）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临川路</t>
    </r>
  </si>
  <si>
    <t>1.2.7</t>
  </si>
  <si>
    <r>
      <rPr>
        <sz val="11"/>
        <rFont val="宋体"/>
        <charset val="134"/>
      </rPr>
      <t>迁移监控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临川路</t>
    </r>
  </si>
  <si>
    <t>1.2.8</t>
  </si>
  <si>
    <r>
      <rPr>
        <sz val="11"/>
        <rFont val="宋体"/>
        <charset val="134"/>
      </rPr>
      <t>迁移路灯（含线路）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临春环路北段</t>
    </r>
  </si>
  <si>
    <t>古树迁移</t>
  </si>
  <si>
    <r>
      <rPr>
        <sz val="11"/>
        <rFont val="宋体"/>
        <charset val="134"/>
      </rPr>
      <t>财建〔</t>
    </r>
    <r>
      <rPr>
        <sz val="11"/>
        <rFont val="Times New Roman"/>
        <charset val="134"/>
      </rPr>
      <t>2016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504</t>
    </r>
    <r>
      <rPr>
        <sz val="11"/>
        <rFont val="宋体"/>
        <charset val="134"/>
      </rPr>
      <t>号。</t>
    </r>
  </si>
  <si>
    <r>
      <rPr>
        <sz val="11"/>
        <rFont val="宋体"/>
        <charset val="134"/>
      </rPr>
      <t>参考发改价格〔</t>
    </r>
    <r>
      <rPr>
        <sz val="11"/>
        <rFont val="Times New Roman"/>
        <charset val="134"/>
      </rPr>
      <t>2007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670</t>
    </r>
    <r>
      <rPr>
        <sz val="11"/>
        <rFont val="宋体"/>
        <charset val="134"/>
      </rPr>
      <t>号，八折计入。</t>
    </r>
  </si>
  <si>
    <t>按合同计。</t>
  </si>
  <si>
    <t>标准收费</t>
  </si>
  <si>
    <t>暂估。</t>
  </si>
  <si>
    <r>
      <rPr>
        <sz val="11"/>
        <rFont val="宋体"/>
        <charset val="134"/>
      </rPr>
      <t>按工程费的</t>
    </r>
    <r>
      <rPr>
        <sz val="11"/>
        <rFont val="Times New Roman"/>
        <charset val="134"/>
      </rPr>
      <t>0.5%</t>
    </r>
    <r>
      <rPr>
        <sz val="11"/>
        <rFont val="宋体"/>
        <charset val="134"/>
      </rPr>
      <t>。</t>
    </r>
  </si>
  <si>
    <r>
      <rPr>
        <sz val="11"/>
        <rFont val="宋体"/>
        <charset val="134"/>
      </rPr>
      <t>按工程费的</t>
    </r>
    <r>
      <rPr>
        <sz val="11"/>
        <rFont val="Times New Roman"/>
        <charset val="134"/>
      </rPr>
      <t>0.3%</t>
    </r>
    <r>
      <rPr>
        <sz val="11"/>
        <rFont val="宋体"/>
        <charset val="134"/>
      </rPr>
      <t>。</t>
    </r>
  </si>
  <si>
    <r>
      <rPr>
        <sz val="11"/>
        <rFont val="宋体"/>
        <charset val="134"/>
      </rPr>
      <t>参考计价格〔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225</t>
    </r>
    <r>
      <rPr>
        <sz val="11"/>
        <rFont val="宋体"/>
        <charset val="134"/>
      </rPr>
      <t>号，八折计入。</t>
    </r>
  </si>
  <si>
    <r>
      <rPr>
        <sz val="11"/>
        <rFont val="宋体"/>
        <charset val="134"/>
      </rPr>
      <t>琼价协〔</t>
    </r>
    <r>
      <rPr>
        <sz val="11"/>
        <rFont val="Times New Roman"/>
        <charset val="134"/>
      </rPr>
      <t>2020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01</t>
    </r>
    <r>
      <rPr>
        <sz val="11"/>
        <rFont val="宋体"/>
        <charset val="134"/>
      </rPr>
      <t>号，八折计入。</t>
    </r>
    <r>
      <rPr>
        <sz val="11"/>
        <rFont val="Times New Roman"/>
        <charset val="134"/>
      </rPr>
      <t xml:space="preserve">
</t>
    </r>
  </si>
  <si>
    <t>标准收费五折</t>
  </si>
  <si>
    <r>
      <rPr>
        <sz val="11"/>
        <rFont val="宋体"/>
        <charset val="134"/>
      </rPr>
      <t>按保监〔</t>
    </r>
    <r>
      <rPr>
        <sz val="11"/>
        <rFont val="Times New Roman"/>
        <charset val="134"/>
      </rPr>
      <t>2005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号，五折计。</t>
    </r>
    <r>
      <rPr>
        <sz val="11"/>
        <rFont val="Times New Roman"/>
        <charset val="134"/>
      </rPr>
      <t xml:space="preserve">
</t>
    </r>
  </si>
  <si>
    <r>
      <rPr>
        <sz val="11"/>
        <rFont val="宋体"/>
        <charset val="134"/>
      </rPr>
      <t>琼发改收费〔</t>
    </r>
    <r>
      <rPr>
        <sz val="11"/>
        <rFont val="Times New Roman"/>
        <charset val="134"/>
      </rPr>
      <t>2021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716</t>
    </r>
    <r>
      <rPr>
        <sz val="11"/>
        <rFont val="宋体"/>
        <charset val="134"/>
      </rPr>
      <t>号。</t>
    </r>
  </si>
  <si>
    <t>节约集约用地评价报告</t>
  </si>
  <si>
    <t>参考《海南省建设项目总概算组成及其他费用计算规定》。</t>
  </si>
  <si>
    <t>供电外线及接驳费</t>
  </si>
  <si>
    <t>评审取消。</t>
  </si>
  <si>
    <r>
      <rPr>
        <sz val="11"/>
        <rFont val="Times New Roman"/>
        <charset val="134"/>
      </rPr>
      <t>DN800</t>
    </r>
    <r>
      <rPr>
        <sz val="11"/>
        <rFont val="宋体"/>
        <charset val="134"/>
      </rPr>
      <t>供水管接驳费</t>
    </r>
  </si>
  <si>
    <t>暂按送审金额计入，最终以</t>
  </si>
  <si>
    <r>
      <rPr>
        <sz val="11"/>
        <rFont val="宋体"/>
        <charset val="134"/>
      </rPr>
      <t>参考琼价费管〔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176</t>
    </r>
    <r>
      <rPr>
        <sz val="11"/>
        <rFont val="宋体"/>
        <charset val="134"/>
      </rPr>
      <t>号，下浮</t>
    </r>
    <r>
      <rPr>
        <sz val="11"/>
        <rFont val="Times New Roman"/>
        <charset val="134"/>
      </rPr>
      <t>40%</t>
    </r>
    <r>
      <rPr>
        <sz val="11"/>
        <rFont val="宋体"/>
        <charset val="134"/>
      </rPr>
      <t>。</t>
    </r>
  </si>
  <si>
    <t>不发生。</t>
  </si>
  <si>
    <t>竣工决算审查费</t>
  </si>
  <si>
    <r>
      <rPr>
        <sz val="11"/>
        <rFont val="宋体"/>
        <charset val="134"/>
      </rPr>
      <t>参考琼价费管〔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176</t>
    </r>
    <r>
      <rPr>
        <sz val="11"/>
        <rFont val="宋体"/>
        <charset val="134"/>
      </rPr>
      <t>号，下浮</t>
    </r>
    <r>
      <rPr>
        <sz val="11"/>
        <rFont val="Times New Roman"/>
        <charset val="134"/>
      </rPr>
      <t>20%</t>
    </r>
    <r>
      <rPr>
        <sz val="11"/>
        <rFont val="宋体"/>
        <charset val="134"/>
      </rPr>
      <t>。</t>
    </r>
  </si>
  <si>
    <t>三</t>
  </si>
  <si>
    <r>
      <rPr>
        <sz val="11"/>
        <color theme="1"/>
        <rFont val="宋体"/>
        <charset val="134"/>
      </rPr>
      <t>基本预备费</t>
    </r>
    <r>
      <rPr>
        <sz val="11"/>
        <color theme="1"/>
        <rFont val="Times New Roman"/>
        <charset val="134"/>
      </rPr>
      <t>5%</t>
    </r>
  </si>
  <si>
    <r>
      <rPr>
        <sz val="11"/>
        <rFont val="Times New Roman"/>
        <charset val="134"/>
      </rPr>
      <t>5%</t>
    </r>
    <r>
      <rPr>
        <sz val="11"/>
        <rFont val="宋体"/>
        <charset val="134"/>
      </rPr>
      <t>。</t>
    </r>
  </si>
  <si>
    <t>四</t>
  </si>
  <si>
    <t>总投资</t>
  </si>
  <si>
    <t>项目总投</t>
  </si>
  <si>
    <t>修编金额</t>
  </si>
  <si>
    <t>审定金额</t>
  </si>
  <si>
    <t>核增/减额（审定-修编）（万元）</t>
  </si>
  <si>
    <t>核增/减率（%）</t>
  </si>
  <si>
    <t>工程量</t>
  </si>
  <si>
    <t>经济指标（元）</t>
  </si>
  <si>
    <t>估算金额（万元）</t>
  </si>
  <si>
    <t>已批复。</t>
  </si>
  <si>
    <t>审核增加。</t>
  </si>
</sst>
</file>

<file path=xl/styles.xml><?xml version="1.0" encoding="utf-8"?>
<styleSheet xmlns="http://schemas.openxmlformats.org/spreadsheetml/2006/main">
  <numFmts count="12">
    <numFmt numFmtId="176" formatCode="0.0000_ "/>
    <numFmt numFmtId="177" formatCode="0.0_);[Red]\(0.0\)"/>
    <numFmt numFmtId="44" formatCode="_ &quot;￥&quot;* #,##0.00_ ;_ &quot;￥&quot;* \-#,##0.00_ ;_ &quot;￥&quot;* &quot;-&quot;??_ ;_ @_ "/>
    <numFmt numFmtId="178" formatCode="0.00_ "/>
    <numFmt numFmtId="41" formatCode="_ * #,##0_ ;_ * \-#,##0_ ;_ * &quot;-&quot;_ ;_ @_ "/>
    <numFmt numFmtId="179" formatCode="0.000_ "/>
    <numFmt numFmtId="43" formatCode="_ * #,##0.00_ ;_ * \-#,##0.00_ ;_ * &quot;-&quot;??_ ;_ @_ "/>
    <numFmt numFmtId="180" formatCode="0_);[Red]\(0\)"/>
    <numFmt numFmtId="181" formatCode="0.00000_ "/>
    <numFmt numFmtId="42" formatCode="_ &quot;￥&quot;* #,##0_ ;_ &quot;￥&quot;* \-#,##0_ ;_ &quot;￥&quot;* &quot;-&quot;_ ;_ @_ "/>
    <numFmt numFmtId="182" formatCode="0_ "/>
    <numFmt numFmtId="183" formatCode="0.0_ "/>
  </numFmts>
  <fonts count="61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000000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1"/>
      <color rgb="FFFF0000"/>
      <name val="Times New Roman"/>
      <charset val="134"/>
    </font>
    <font>
      <sz val="11"/>
      <name val="Times New Roman"/>
      <charset val="0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28"/>
      <color theme="1"/>
      <name val="宋体"/>
      <charset val="134"/>
    </font>
    <font>
      <b/>
      <sz val="28"/>
      <name val="宋体"/>
      <charset val="134"/>
    </font>
    <font>
      <b/>
      <sz val="16"/>
      <color theme="1"/>
      <name val="黑体"/>
      <charset val="134"/>
    </font>
    <font>
      <b/>
      <sz val="16"/>
      <name val="黑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4"/>
      <color rgb="FFFF0000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vertAlign val="superscript"/>
      <sz val="11"/>
      <color theme="1"/>
      <name val="Times New Roman"/>
      <charset val="134"/>
    </font>
    <font>
      <vertAlign val="superscript"/>
      <sz val="11"/>
      <color theme="1"/>
      <name val="Times New Roman"/>
      <charset val="134"/>
    </font>
    <font>
      <b/>
      <vertAlign val="superscript"/>
      <sz val="14"/>
      <name val="宋体"/>
      <charset val="134"/>
    </font>
    <font>
      <sz val="14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49" fillId="0" borderId="0"/>
    <xf numFmtId="0" fontId="45" fillId="0" borderId="0"/>
    <xf numFmtId="0" fontId="37" fillId="26" borderId="0" applyNumberFormat="false" applyBorder="false" applyAlignment="false" applyProtection="false">
      <alignment vertical="center"/>
    </xf>
    <xf numFmtId="0" fontId="36" fillId="30" borderId="0" applyNumberFormat="false" applyBorder="false" applyAlignment="false" applyProtection="false">
      <alignment vertical="center"/>
    </xf>
    <xf numFmtId="0" fontId="40" fillId="15" borderId="16" applyNumberFormat="false" applyAlignment="false" applyProtection="false">
      <alignment vertical="center"/>
    </xf>
    <xf numFmtId="0" fontId="47" fillId="27" borderId="20" applyNumberFormat="false" applyAlignment="false" applyProtection="false">
      <alignment vertical="center"/>
    </xf>
    <xf numFmtId="0" fontId="48" fillId="31" borderId="0" applyNumberFormat="false" applyBorder="false" applyAlignment="false" applyProtection="false">
      <alignment vertical="center"/>
    </xf>
    <xf numFmtId="0" fontId="56" fillId="0" borderId="19" applyNumberFormat="false" applyFill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46" fillId="0" borderId="19" applyNumberFormat="false" applyFill="false" applyAlignment="false" applyProtection="false">
      <alignment vertical="center"/>
    </xf>
    <xf numFmtId="0" fontId="36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6" fillId="22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7" fillId="20" borderId="0" applyNumberFormat="false" applyBorder="false" applyAlignment="false" applyProtection="false">
      <alignment vertical="center"/>
    </xf>
    <xf numFmtId="0" fontId="50" fillId="0" borderId="21" applyNumberFormat="false" applyFill="false" applyAlignment="false" applyProtection="false">
      <alignment vertical="center"/>
    </xf>
    <xf numFmtId="0" fontId="41" fillId="0" borderId="17" applyNumberFormat="false" applyFill="false" applyAlignment="false" applyProtection="false">
      <alignment vertical="center"/>
    </xf>
    <xf numFmtId="0" fontId="36" fillId="16" borderId="0" applyNumberFormat="false" applyBorder="false" applyAlignment="false" applyProtection="false">
      <alignment vertical="center"/>
    </xf>
    <xf numFmtId="0" fontId="36" fillId="13" borderId="0" applyNumberFormat="false" applyBorder="false" applyAlignment="false" applyProtection="false">
      <alignment vertical="center"/>
    </xf>
    <xf numFmtId="0" fontId="37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36" fillId="14" borderId="0" applyNumberFormat="false" applyBorder="false" applyAlignment="false" applyProtection="false">
      <alignment vertical="center"/>
    </xf>
    <xf numFmtId="0" fontId="42" fillId="0" borderId="18" applyNumberFormat="false" applyFill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36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36" fillId="24" borderId="0" applyNumberFormat="false" applyBorder="false" applyAlignment="false" applyProtection="false">
      <alignment vertical="center"/>
    </xf>
    <xf numFmtId="0" fontId="0" fillId="34" borderId="22" applyNumberFormat="false" applyFont="false" applyAlignment="false" applyProtection="false">
      <alignment vertical="center"/>
    </xf>
    <xf numFmtId="0" fontId="37" fillId="32" borderId="0" applyNumberFormat="false" applyBorder="false" applyAlignment="false" applyProtection="false">
      <alignment vertical="center"/>
    </xf>
    <xf numFmtId="0" fontId="44" fillId="25" borderId="0" applyNumberFormat="false" applyBorder="false" applyAlignment="false" applyProtection="false">
      <alignment vertical="center"/>
    </xf>
    <xf numFmtId="0" fontId="36" fillId="19" borderId="0" applyNumberFormat="false" applyBorder="false" applyAlignment="false" applyProtection="false">
      <alignment vertical="center"/>
    </xf>
    <xf numFmtId="0" fontId="54" fillId="33" borderId="0" applyNumberFormat="false" applyBorder="false" applyAlignment="false" applyProtection="false">
      <alignment vertical="center"/>
    </xf>
    <xf numFmtId="0" fontId="32" fillId="0" borderId="0"/>
    <xf numFmtId="0" fontId="39" fillId="15" borderId="15" applyNumberFormat="false" applyAlignment="false" applyProtection="false">
      <alignment vertical="center"/>
    </xf>
    <xf numFmtId="0" fontId="37" fillId="35" borderId="0" applyNumberFormat="false" applyBorder="false" applyAlignment="false" applyProtection="false">
      <alignment vertical="center"/>
    </xf>
    <xf numFmtId="0" fontId="37" fillId="28" borderId="0" applyNumberFormat="false" applyBorder="false" applyAlignment="false" applyProtection="false">
      <alignment vertical="center"/>
    </xf>
    <xf numFmtId="0" fontId="37" fillId="29" borderId="0" applyNumberFormat="false" applyBorder="false" applyAlignment="false" applyProtection="false">
      <alignment vertical="center"/>
    </xf>
    <xf numFmtId="0" fontId="37" fillId="21" borderId="0" applyNumberFormat="false" applyBorder="false" applyAlignment="false" applyProtection="false">
      <alignment vertical="center"/>
    </xf>
    <xf numFmtId="0" fontId="37" fillId="3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7" fillId="3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7" fillId="12" borderId="0" applyNumberFormat="false" applyBorder="false" applyAlignment="false" applyProtection="false">
      <alignment vertical="center"/>
    </xf>
    <xf numFmtId="0" fontId="36" fillId="11" borderId="0" applyNumberFormat="false" applyBorder="false" applyAlignment="false" applyProtection="false">
      <alignment vertical="center"/>
    </xf>
    <xf numFmtId="0" fontId="38" fillId="10" borderId="15" applyNumberFormat="false" applyAlignment="false" applyProtection="false">
      <alignment vertical="center"/>
    </xf>
    <xf numFmtId="0" fontId="36" fillId="9" borderId="0" applyNumberFormat="false" applyBorder="false" applyAlignment="false" applyProtection="false">
      <alignment vertical="center"/>
    </xf>
    <xf numFmtId="0" fontId="37" fillId="8" borderId="0" applyNumberFormat="false" applyBorder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</cellStyleXfs>
  <cellXfs count="175">
    <xf numFmtId="0" fontId="0" fillId="0" borderId="0" xfId="0">
      <alignment vertical="center"/>
    </xf>
    <xf numFmtId="178" fontId="1" fillId="2" borderId="1" xfId="2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/>
    </xf>
    <xf numFmtId="178" fontId="3" fillId="0" borderId="1" xfId="0" applyNumberFormat="true" applyFont="true" applyFill="true" applyBorder="true" applyAlignment="true">
      <alignment horizontal="left" vertical="center"/>
    </xf>
    <xf numFmtId="0" fontId="3" fillId="0" borderId="1" xfId="0" applyFont="true" applyBorder="true" applyAlignment="true">
      <alignment horizontal="left" vertical="center"/>
    </xf>
    <xf numFmtId="178" fontId="4" fillId="0" borderId="1" xfId="0" applyNumberFormat="true" applyFont="true" applyFill="true" applyBorder="true" applyAlignment="true">
      <alignment horizontal="left" vertical="center"/>
    </xf>
    <xf numFmtId="0" fontId="4" fillId="0" borderId="1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left" vertical="center"/>
    </xf>
    <xf numFmtId="178" fontId="4" fillId="0" borderId="1" xfId="0" applyNumberFormat="true" applyFont="true" applyBorder="true" applyAlignment="true">
      <alignment horizontal="left" vertical="center"/>
    </xf>
    <xf numFmtId="0" fontId="6" fillId="0" borderId="1" xfId="0" applyFont="true" applyBorder="true">
      <alignment vertical="center"/>
    </xf>
    <xf numFmtId="0" fontId="7" fillId="0" borderId="1" xfId="0" applyFont="true" applyBorder="true">
      <alignment vertical="center"/>
    </xf>
    <xf numFmtId="182" fontId="2" fillId="0" borderId="1" xfId="0" applyNumberFormat="true" applyFont="true" applyFill="true" applyBorder="true" applyAlignment="true">
      <alignment horizontal="center" vertical="center" wrapText="true"/>
    </xf>
    <xf numFmtId="178" fontId="3" fillId="0" borderId="1" xfId="0" applyNumberFormat="true" applyFont="true" applyBorder="true" applyAlignment="true">
      <alignment horizontal="left" vertical="center"/>
    </xf>
    <xf numFmtId="178" fontId="1" fillId="0" borderId="1" xfId="0" applyNumberFormat="true" applyFont="true" applyFill="true" applyBorder="true" applyAlignment="true">
      <alignment horizontal="center" vertical="center" wrapText="true"/>
    </xf>
    <xf numFmtId="10" fontId="1" fillId="0" borderId="1" xfId="0" applyNumberFormat="true" applyFont="true" applyFill="true" applyBorder="true" applyAlignment="true">
      <alignment horizontal="center" vertical="center" wrapText="true"/>
    </xf>
    <xf numFmtId="10" fontId="3" fillId="0" borderId="1" xfId="0" applyNumberFormat="true" applyFont="true" applyBorder="true" applyAlignment="true">
      <alignment horizontal="center" vertical="center"/>
    </xf>
    <xf numFmtId="10" fontId="4" fillId="0" borderId="1" xfId="0" applyNumberFormat="true" applyFont="true" applyBorder="true" applyAlignment="true">
      <alignment horizontal="center" vertical="center"/>
    </xf>
    <xf numFmtId="10" fontId="5" fillId="0" borderId="1" xfId="0" applyNumberFormat="true" applyFont="true" applyBorder="true" applyAlignment="true">
      <alignment horizontal="center" vertical="center"/>
    </xf>
    <xf numFmtId="0" fontId="8" fillId="0" borderId="0" xfId="0" applyFont="true" applyAlignment="true">
      <alignment horizontal="justify" vertical="center"/>
    </xf>
    <xf numFmtId="178" fontId="0" fillId="0" borderId="0" xfId="0" applyNumberFormat="true">
      <alignment vertical="center"/>
    </xf>
    <xf numFmtId="178" fontId="0" fillId="0" borderId="0" xfId="0" applyNumberFormat="true" applyFont="true" applyFill="true" applyAlignment="true">
      <alignment vertical="center" wrapText="true"/>
    </xf>
    <xf numFmtId="178" fontId="2" fillId="0" borderId="0" xfId="0" applyNumberFormat="true" applyFont="true" applyFill="true" applyAlignment="true">
      <alignment vertical="center" wrapText="true"/>
    </xf>
    <xf numFmtId="178" fontId="5" fillId="0" borderId="0" xfId="0" applyNumberFormat="true" applyFont="true" applyFill="true">
      <alignment vertical="center"/>
    </xf>
    <xf numFmtId="178" fontId="5" fillId="0" borderId="0" xfId="0" applyNumberFormat="true" applyFont="true" applyFill="true" applyAlignment="true">
      <alignment vertical="center" wrapText="true"/>
    </xf>
    <xf numFmtId="178" fontId="9" fillId="0" borderId="0" xfId="0" applyNumberFormat="true" applyFont="true" applyFill="true" applyAlignment="true">
      <alignment vertical="center" wrapText="true"/>
    </xf>
    <xf numFmtId="178" fontId="9" fillId="2" borderId="0" xfId="0" applyNumberFormat="true" applyFont="true" applyFill="true" applyAlignment="true">
      <alignment vertical="center" wrapText="true"/>
    </xf>
    <xf numFmtId="178" fontId="10" fillId="0" borderId="0" xfId="0" applyNumberFormat="true" applyFont="true" applyFill="true" applyAlignment="true">
      <alignment vertical="center" wrapText="true"/>
    </xf>
    <xf numFmtId="178" fontId="9" fillId="3" borderId="0" xfId="0" applyNumberFormat="true" applyFont="true" applyFill="true" applyAlignment="true">
      <alignment vertical="center" wrapText="true"/>
    </xf>
    <xf numFmtId="178" fontId="9" fillId="0" borderId="0" xfId="0" applyNumberFormat="true" applyFont="true" applyFill="true" applyBorder="true" applyAlignment="true">
      <alignment vertical="center" wrapText="true"/>
    </xf>
    <xf numFmtId="0" fontId="11" fillId="0" borderId="0" xfId="0" applyFont="true">
      <alignment vertical="center"/>
    </xf>
    <xf numFmtId="178" fontId="12" fillId="0" borderId="1" xfId="0" applyNumberFormat="true" applyFont="true" applyFill="true" applyBorder="true" applyAlignment="true">
      <alignment horizontal="center" vertical="center" wrapText="true"/>
    </xf>
    <xf numFmtId="178" fontId="13" fillId="0" borderId="1" xfId="0" applyNumberFormat="true" applyFont="true" applyFill="true" applyBorder="true" applyAlignment="true">
      <alignment horizontal="center" vertical="center" wrapText="true"/>
    </xf>
    <xf numFmtId="178" fontId="14" fillId="0" borderId="1" xfId="0" applyNumberFormat="true" applyFont="true" applyFill="true" applyBorder="true" applyAlignment="true">
      <alignment horizontal="left" vertical="center" wrapText="true"/>
    </xf>
    <xf numFmtId="178" fontId="13" fillId="0" borderId="1" xfId="0" applyNumberFormat="true" applyFont="true" applyFill="true" applyBorder="true" applyAlignment="true">
      <alignment horizontal="left" vertical="center" wrapText="true"/>
    </xf>
    <xf numFmtId="182" fontId="12" fillId="0" borderId="1" xfId="0" applyNumberFormat="true" applyFont="true" applyFill="true" applyBorder="true" applyAlignment="true">
      <alignment vertical="center" wrapText="true"/>
    </xf>
    <xf numFmtId="182" fontId="13" fillId="0" borderId="1" xfId="0" applyNumberFormat="true" applyFont="true" applyFill="true" applyBorder="true" applyAlignment="true">
      <alignment vertical="center" wrapText="true"/>
    </xf>
    <xf numFmtId="182" fontId="12" fillId="0" borderId="1" xfId="0" applyNumberFormat="true" applyFont="true" applyFill="true" applyBorder="true" applyAlignment="true">
      <alignment horizontal="left" vertical="center" wrapText="true"/>
    </xf>
    <xf numFmtId="178" fontId="12" fillId="0" borderId="1" xfId="0" applyNumberFormat="true" applyFont="true" applyFill="true" applyBorder="true" applyAlignment="true">
      <alignment vertical="center" wrapText="true"/>
    </xf>
    <xf numFmtId="182" fontId="13" fillId="0" borderId="1" xfId="0" applyNumberFormat="true" applyFont="true" applyFill="true" applyBorder="true" applyAlignment="true">
      <alignment horizontal="left" vertical="center" wrapText="true"/>
    </xf>
    <xf numFmtId="183" fontId="11" fillId="0" borderId="1" xfId="0" applyNumberFormat="true" applyFont="true" applyFill="true" applyBorder="true" applyAlignment="true">
      <alignment horizontal="left" vertical="center"/>
    </xf>
    <xf numFmtId="182" fontId="15" fillId="0" borderId="1" xfId="0" applyNumberFormat="true" applyFont="true" applyFill="true" applyBorder="true" applyAlignment="true">
      <alignment horizontal="left" vertical="center" wrapText="true"/>
    </xf>
    <xf numFmtId="178" fontId="11" fillId="0" borderId="1" xfId="0" applyNumberFormat="true" applyFont="true" applyFill="true" applyBorder="true" applyAlignment="true">
      <alignment horizontal="center" vertical="center"/>
    </xf>
    <xf numFmtId="178" fontId="11" fillId="0" borderId="1" xfId="0" applyNumberFormat="true" applyFont="true" applyFill="true" applyBorder="true" applyAlignment="true">
      <alignment horizontal="left" vertical="center"/>
    </xf>
    <xf numFmtId="182" fontId="11" fillId="0" borderId="1" xfId="0" applyNumberFormat="true" applyFont="true" applyFill="true" applyBorder="true" applyAlignment="true">
      <alignment horizontal="left" vertical="center"/>
    </xf>
    <xf numFmtId="182" fontId="11" fillId="0" borderId="1" xfId="0" applyNumberFormat="true" applyFont="true" applyFill="true" applyBorder="true" applyAlignment="true">
      <alignment horizontal="left" vertical="center" wrapText="true"/>
    </xf>
    <xf numFmtId="178" fontId="15" fillId="0" borderId="1" xfId="0" applyNumberFormat="true" applyFont="true" applyFill="true" applyBorder="true" applyAlignment="true">
      <alignment vertical="center" wrapText="true"/>
    </xf>
    <xf numFmtId="178" fontId="11" fillId="0" borderId="1" xfId="0" applyNumberFormat="true" applyFont="true" applyFill="true" applyBorder="true" applyAlignment="true">
      <alignment horizontal="center" vertical="center" wrapText="true"/>
    </xf>
    <xf numFmtId="183" fontId="16" fillId="0" borderId="1" xfId="0" applyNumberFormat="true" applyFont="true" applyFill="true" applyBorder="true" applyAlignment="true">
      <alignment horizontal="left" vertical="center" wrapText="true"/>
    </xf>
    <xf numFmtId="178" fontId="17" fillId="0" borderId="1" xfId="0" applyNumberFormat="true" applyFont="true" applyFill="true" applyBorder="true" applyAlignment="true">
      <alignment vertical="center" wrapText="true"/>
    </xf>
    <xf numFmtId="178" fontId="16" fillId="0" borderId="1" xfId="0" applyNumberFormat="true" applyFont="true" applyFill="true" applyBorder="true" applyAlignment="true">
      <alignment horizontal="center" vertical="center" wrapText="true"/>
    </xf>
    <xf numFmtId="183" fontId="16" fillId="2" borderId="1" xfId="0" applyNumberFormat="true" applyFont="true" applyFill="true" applyBorder="true" applyAlignment="true">
      <alignment horizontal="left" vertical="center" wrapText="true"/>
    </xf>
    <xf numFmtId="178" fontId="17" fillId="2" borderId="1" xfId="0" applyNumberFormat="true" applyFont="true" applyFill="true" applyBorder="true" applyAlignment="true">
      <alignment vertical="center" wrapText="true"/>
    </xf>
    <xf numFmtId="178" fontId="16" fillId="2" borderId="1" xfId="0" applyNumberFormat="true" applyFont="true" applyFill="true" applyBorder="true" applyAlignment="true">
      <alignment horizontal="center" vertical="center" wrapText="true"/>
    </xf>
    <xf numFmtId="182" fontId="16" fillId="2" borderId="1" xfId="0" applyNumberFormat="true" applyFont="true" applyFill="true" applyBorder="true" applyAlignment="true">
      <alignment horizontal="left" vertical="center" wrapText="true"/>
    </xf>
    <xf numFmtId="182" fontId="16" fillId="0" borderId="1" xfId="0" applyNumberFormat="true" applyFont="true" applyFill="true" applyBorder="true" applyAlignment="true">
      <alignment horizontal="left" vertical="center" wrapText="true"/>
    </xf>
    <xf numFmtId="178" fontId="18" fillId="0" borderId="1" xfId="0" applyNumberFormat="true" applyFont="true" applyFill="true" applyBorder="true" applyAlignment="true">
      <alignment horizontal="center" vertical="center" wrapText="true"/>
    </xf>
    <xf numFmtId="183" fontId="11" fillId="2" borderId="1" xfId="0" applyNumberFormat="true" applyFont="true" applyFill="true" applyBorder="true" applyAlignment="true">
      <alignment horizontal="left" vertical="center" wrapText="true"/>
    </xf>
    <xf numFmtId="180" fontId="12" fillId="0" borderId="1" xfId="0" applyNumberFormat="true" applyFont="true" applyFill="true" applyBorder="true" applyAlignment="true">
      <alignment horizontal="center" vertical="center" wrapText="true"/>
    </xf>
    <xf numFmtId="178" fontId="13" fillId="0" borderId="1" xfId="0" applyNumberFormat="true" applyFont="true" applyFill="true" applyBorder="true" applyAlignment="true">
      <alignment horizontal="center" vertical="center"/>
    </xf>
    <xf numFmtId="178" fontId="19" fillId="0" borderId="2" xfId="0" applyNumberFormat="true" applyFont="true" applyFill="true" applyBorder="true" applyAlignment="true">
      <alignment horizontal="center" vertical="center" wrapText="true"/>
    </xf>
    <xf numFmtId="178" fontId="16" fillId="0" borderId="2" xfId="0" applyNumberFormat="true" applyFont="true" applyFill="true" applyBorder="true" applyAlignment="true">
      <alignment horizontal="center" vertical="center" wrapText="true"/>
    </xf>
    <xf numFmtId="178" fontId="17" fillId="0" borderId="2" xfId="0" applyNumberFormat="true" applyFont="true" applyFill="true" applyBorder="true" applyAlignment="true">
      <alignment horizontal="center" vertical="center" wrapText="true"/>
    </xf>
    <xf numFmtId="178" fontId="2" fillId="0" borderId="0" xfId="0" applyNumberFormat="true" applyFont="true" applyFill="true" applyAlignment="true">
      <alignment horizontal="center" vertical="center" wrapText="true"/>
    </xf>
    <xf numFmtId="177" fontId="13" fillId="0" borderId="1" xfId="0" applyNumberFormat="true" applyFont="true" applyFill="true" applyBorder="true" applyAlignment="true">
      <alignment horizontal="center" vertical="center" wrapText="true"/>
    </xf>
    <xf numFmtId="177" fontId="11" fillId="0" borderId="1" xfId="0" applyNumberFormat="true" applyFont="true" applyFill="true" applyBorder="true" applyAlignment="true">
      <alignment horizontal="center" vertical="center" wrapText="true"/>
    </xf>
    <xf numFmtId="178" fontId="12" fillId="0" borderId="3" xfId="0" applyNumberFormat="true" applyFont="true" applyFill="true" applyBorder="true" applyAlignment="true">
      <alignment horizontal="center" vertical="center"/>
    </xf>
    <xf numFmtId="178" fontId="19" fillId="0" borderId="4" xfId="0" applyNumberFormat="true" applyFont="true" applyFill="true" applyBorder="true" applyAlignment="true">
      <alignment horizontal="center" vertical="center" wrapText="true"/>
    </xf>
    <xf numFmtId="178" fontId="19" fillId="0" borderId="3" xfId="0" applyNumberFormat="true" applyFont="true" applyFill="true" applyBorder="true" applyAlignment="true">
      <alignment horizontal="center" vertical="center" wrapText="true"/>
    </xf>
    <xf numFmtId="178" fontId="5" fillId="0" borderId="0" xfId="0" applyNumberFormat="true" applyFont="true" applyFill="true" applyAlignment="true">
      <alignment horizontal="center" vertical="center" wrapText="true"/>
    </xf>
    <xf numFmtId="178" fontId="16" fillId="0" borderId="4" xfId="0" applyNumberFormat="true" applyFont="true" applyFill="true" applyBorder="true" applyAlignment="true">
      <alignment horizontal="center" vertical="center" wrapText="true"/>
    </xf>
    <xf numFmtId="178" fontId="16" fillId="0" borderId="3" xfId="0" applyNumberFormat="true" applyFont="true" applyFill="true" applyBorder="true" applyAlignment="true">
      <alignment horizontal="center" vertical="center" wrapText="true"/>
    </xf>
    <xf numFmtId="178" fontId="10" fillId="4" borderId="0" xfId="0" applyNumberFormat="true" applyFont="true" applyFill="true" applyAlignment="true">
      <alignment vertical="center" wrapText="true"/>
    </xf>
    <xf numFmtId="0" fontId="9" fillId="5" borderId="0" xfId="1" applyFont="true" applyFill="true" applyAlignment="true">
      <alignment horizontal="left" vertical="center" wrapText="true"/>
    </xf>
    <xf numFmtId="0" fontId="9" fillId="5" borderId="0" xfId="1" applyFont="true" applyFill="true" applyAlignment="true">
      <alignment horizontal="right" vertical="center" wrapText="true"/>
    </xf>
    <xf numFmtId="178" fontId="9" fillId="0" borderId="0" xfId="0" applyNumberFormat="true" applyFont="true" applyFill="true" applyBorder="true" applyAlignment="true">
      <alignment horizontal="center" vertical="center" wrapText="true"/>
    </xf>
    <xf numFmtId="178" fontId="9" fillId="0" borderId="0" xfId="0" applyNumberFormat="true" applyFont="true" applyFill="true" applyAlignment="true">
      <alignment horizontal="center" vertical="center" wrapText="true"/>
    </xf>
    <xf numFmtId="178" fontId="17" fillId="3" borderId="1" xfId="0" applyNumberFormat="true" applyFont="true" applyFill="true" applyBorder="true" applyAlignment="true">
      <alignment vertical="center" wrapText="true"/>
    </xf>
    <xf numFmtId="178" fontId="16" fillId="3" borderId="1" xfId="0" applyNumberFormat="true" applyFont="true" applyFill="true" applyBorder="true" applyAlignment="true">
      <alignment horizontal="center" vertical="center" wrapText="true"/>
    </xf>
    <xf numFmtId="178" fontId="16" fillId="3" borderId="1" xfId="0" applyNumberFormat="true" applyFont="true" applyFill="true" applyBorder="true" applyAlignment="true">
      <alignment vertical="center" wrapText="true"/>
    </xf>
    <xf numFmtId="182" fontId="15" fillId="0" borderId="1" xfId="0" applyNumberFormat="true" applyFont="true" applyFill="true" applyBorder="true" applyAlignment="true">
      <alignment vertical="center" wrapText="true"/>
    </xf>
    <xf numFmtId="182" fontId="11" fillId="0" borderId="1" xfId="0" applyNumberFormat="true" applyFont="true" applyFill="true" applyBorder="true" applyAlignment="true">
      <alignment vertical="center" wrapText="true"/>
    </xf>
    <xf numFmtId="178" fontId="17" fillId="3" borderId="2" xfId="0" applyNumberFormat="true" applyFont="true" applyFill="true" applyBorder="true" applyAlignment="true">
      <alignment horizontal="center" vertical="center" wrapText="true"/>
    </xf>
    <xf numFmtId="178" fontId="20" fillId="0" borderId="1" xfId="36" applyNumberFormat="true" applyFont="true" applyFill="true" applyBorder="true" applyAlignment="true">
      <alignment horizontal="center" vertical="center" wrapText="true"/>
    </xf>
    <xf numFmtId="178" fontId="13" fillId="0" borderId="1" xfId="0" applyNumberFormat="true" applyFont="true" applyFill="true" applyBorder="true" applyAlignment="true">
      <alignment vertical="center" wrapText="true"/>
    </xf>
    <xf numFmtId="178" fontId="16" fillId="3" borderId="4" xfId="0" applyNumberFormat="true" applyFont="true" applyFill="true" applyBorder="true" applyAlignment="true">
      <alignment horizontal="center" vertical="center" wrapText="true"/>
    </xf>
    <xf numFmtId="178" fontId="16" fillId="3" borderId="3" xfId="0" applyNumberFormat="true" applyFont="true" applyFill="true" applyBorder="true" applyAlignment="true">
      <alignment horizontal="center" vertical="center" wrapText="true"/>
    </xf>
    <xf numFmtId="178" fontId="21" fillId="0" borderId="0" xfId="0" applyNumberFormat="true" applyFont="true" applyFill="true" applyAlignment="true">
      <alignment vertical="center" wrapText="true"/>
    </xf>
    <xf numFmtId="178" fontId="22" fillId="0" borderId="0" xfId="0" applyNumberFormat="true" applyFont="true" applyFill="true">
      <alignment vertical="center"/>
    </xf>
    <xf numFmtId="178" fontId="22" fillId="0" borderId="0" xfId="0" applyNumberFormat="true" applyFont="true" applyFill="true" applyAlignment="true">
      <alignment vertical="center" wrapText="true"/>
    </xf>
    <xf numFmtId="178" fontId="22" fillId="2" borderId="0" xfId="0" applyNumberFormat="true" applyFont="true" applyFill="true" applyAlignment="true">
      <alignment vertical="center" wrapText="true"/>
    </xf>
    <xf numFmtId="178" fontId="22" fillId="0" borderId="0" xfId="0" applyNumberFormat="true" applyFont="true" applyFill="true" applyBorder="true" applyAlignment="true">
      <alignment vertical="center" wrapText="true"/>
    </xf>
    <xf numFmtId="182" fontId="0" fillId="0" borderId="0" xfId="0" applyNumberFormat="true" applyFont="true" applyFill="true" applyAlignment="true">
      <alignment horizontal="center" vertical="center" wrapText="true"/>
    </xf>
    <xf numFmtId="182" fontId="23" fillId="0" borderId="0" xfId="0" applyNumberFormat="true" applyFont="true" applyFill="true" applyAlignment="true">
      <alignment vertical="center" wrapText="true"/>
    </xf>
    <xf numFmtId="182" fontId="23" fillId="0" borderId="0" xfId="0" applyNumberFormat="true" applyFont="true" applyFill="true" applyAlignment="true">
      <alignment horizontal="center" vertical="center" wrapText="true"/>
    </xf>
    <xf numFmtId="178" fontId="23" fillId="0" borderId="0" xfId="0" applyNumberFormat="true" applyFont="true" applyFill="true" applyAlignment="true">
      <alignment vertical="center" wrapText="true"/>
    </xf>
    <xf numFmtId="178" fontId="23" fillId="0" borderId="0" xfId="0" applyNumberFormat="true" applyFont="true" applyFill="true" applyAlignment="true">
      <alignment horizontal="center" vertical="center" wrapText="true"/>
    </xf>
    <xf numFmtId="180" fontId="23" fillId="0" borderId="0" xfId="0" applyNumberFormat="true" applyFont="true" applyFill="true" applyAlignment="true">
      <alignment horizontal="center" vertical="center" wrapText="true"/>
    </xf>
    <xf numFmtId="178" fontId="24" fillId="0" borderId="1" xfId="0" applyNumberFormat="true" applyFont="true" applyFill="true" applyBorder="true" applyAlignment="true">
      <alignment horizontal="center" vertical="center" wrapText="true"/>
    </xf>
    <xf numFmtId="178" fontId="25" fillId="0" borderId="1" xfId="0" applyNumberFormat="true" applyFont="true" applyFill="true" applyBorder="true" applyAlignment="true">
      <alignment horizontal="center" vertical="center" wrapText="true"/>
    </xf>
    <xf numFmtId="178" fontId="26" fillId="0" borderId="1" xfId="0" applyNumberFormat="true" applyFont="true" applyFill="true" applyBorder="true" applyAlignment="true">
      <alignment horizontal="left" vertical="center" wrapText="true"/>
    </xf>
    <xf numFmtId="178" fontId="27" fillId="0" borderId="1" xfId="0" applyNumberFormat="true" applyFont="true" applyFill="true" applyBorder="true" applyAlignment="true">
      <alignment horizontal="left" vertical="center" wrapText="true"/>
    </xf>
    <xf numFmtId="182" fontId="28" fillId="0" borderId="1" xfId="0" applyNumberFormat="true" applyFont="true" applyFill="true" applyBorder="true" applyAlignment="true">
      <alignment horizontal="center" vertical="center" wrapText="true"/>
    </xf>
    <xf numFmtId="182" fontId="29" fillId="0" borderId="1" xfId="0" applyNumberFormat="true" applyFont="true" applyFill="true" applyBorder="true" applyAlignment="true">
      <alignment vertical="center" wrapText="true"/>
    </xf>
    <xf numFmtId="182" fontId="29" fillId="0" borderId="1" xfId="0" applyNumberFormat="true" applyFont="true" applyFill="true" applyBorder="true" applyAlignment="true">
      <alignment horizontal="center" vertical="center" wrapText="true"/>
    </xf>
    <xf numFmtId="182" fontId="30" fillId="0" borderId="1" xfId="0" applyNumberFormat="true" applyFont="true" applyFill="true" applyBorder="true" applyAlignment="true">
      <alignment horizontal="center" vertical="center"/>
    </xf>
    <xf numFmtId="183" fontId="31" fillId="0" borderId="1" xfId="0" applyNumberFormat="true" applyFont="true" applyFill="true" applyBorder="true" applyAlignment="true">
      <alignment vertical="center"/>
    </xf>
    <xf numFmtId="182" fontId="31" fillId="0" borderId="1" xfId="0" applyNumberFormat="true" applyFont="true" applyFill="true" applyBorder="true" applyAlignment="true">
      <alignment horizontal="center" vertical="center"/>
    </xf>
    <xf numFmtId="178" fontId="31" fillId="0" borderId="1" xfId="0" applyNumberFormat="true" applyFont="true" applyFill="true" applyBorder="true" applyAlignment="true">
      <alignment vertical="center"/>
    </xf>
    <xf numFmtId="182" fontId="22" fillId="0" borderId="1" xfId="0" applyNumberFormat="true" applyFont="true" applyFill="true" applyBorder="true" applyAlignment="true">
      <alignment horizontal="center" vertical="center" wrapText="true"/>
    </xf>
    <xf numFmtId="182" fontId="32" fillId="0" borderId="1" xfId="0" applyNumberFormat="true" applyFont="true" applyFill="true" applyBorder="true" applyAlignment="true">
      <alignment horizontal="center" vertical="center" wrapText="true"/>
    </xf>
    <xf numFmtId="182" fontId="30" fillId="0" borderId="1" xfId="0" applyNumberFormat="true" applyFont="true" applyFill="true" applyBorder="true" applyAlignment="true">
      <alignment horizontal="center" vertical="center" wrapText="true"/>
    </xf>
    <xf numFmtId="182" fontId="31" fillId="0" borderId="1" xfId="0" applyNumberFormat="true" applyFont="true" applyFill="true" applyBorder="true" applyAlignment="true">
      <alignment vertical="center" wrapText="true"/>
    </xf>
    <xf numFmtId="182" fontId="31" fillId="0" borderId="1" xfId="0" applyNumberFormat="true" applyFont="true" applyFill="true" applyBorder="true" applyAlignment="true">
      <alignment horizontal="center" vertical="center" wrapText="true"/>
    </xf>
    <xf numFmtId="182" fontId="30" fillId="2" borderId="1" xfId="0" applyNumberFormat="true" applyFont="true" applyFill="true" applyBorder="true" applyAlignment="true">
      <alignment horizontal="center" vertical="center" wrapText="true"/>
    </xf>
    <xf numFmtId="182" fontId="31" fillId="2" borderId="1" xfId="0" applyNumberFormat="true" applyFont="true" applyFill="true" applyBorder="true" applyAlignment="true">
      <alignment vertical="center" wrapText="true"/>
    </xf>
    <xf numFmtId="182" fontId="31" fillId="2" borderId="1" xfId="0" applyNumberFormat="true" applyFont="true" applyFill="true" applyBorder="true" applyAlignment="true">
      <alignment horizontal="center" vertical="center" wrapText="true"/>
    </xf>
    <xf numFmtId="178" fontId="29" fillId="0" borderId="1" xfId="0" applyNumberFormat="true" applyFont="true" applyFill="true" applyBorder="true" applyAlignment="true">
      <alignment horizontal="center" vertical="center" wrapText="true"/>
    </xf>
    <xf numFmtId="178" fontId="29" fillId="0" borderId="1" xfId="0" applyNumberFormat="true" applyFont="true" applyFill="true" applyBorder="true" applyAlignment="true">
      <alignment vertical="center" wrapText="true"/>
    </xf>
    <xf numFmtId="182" fontId="29" fillId="0" borderId="1" xfId="0" applyNumberFormat="true" applyFont="true" applyFill="true" applyBorder="true" applyAlignment="true">
      <alignment horizontal="left" vertical="center" wrapText="true"/>
    </xf>
    <xf numFmtId="182" fontId="31" fillId="0" borderId="1" xfId="0" applyNumberFormat="true" applyFont="true" applyFill="true" applyBorder="true" applyAlignment="true">
      <alignment horizontal="left" vertical="center" wrapText="true"/>
    </xf>
    <xf numFmtId="178" fontId="31" fillId="0" borderId="1" xfId="0" applyNumberFormat="true" applyFont="true" applyFill="true" applyBorder="true" applyAlignment="true">
      <alignment horizontal="center" vertical="center"/>
    </xf>
    <xf numFmtId="178" fontId="31" fillId="0" borderId="1" xfId="0" applyNumberFormat="true" applyFont="true" applyFill="true" applyBorder="true" applyAlignment="true">
      <alignment horizontal="center" vertical="center" wrapText="true"/>
    </xf>
    <xf numFmtId="178" fontId="31" fillId="0" borderId="1" xfId="0" applyNumberFormat="true" applyFont="true" applyFill="true" applyBorder="true" applyAlignment="true">
      <alignment vertical="center" wrapText="true"/>
    </xf>
    <xf numFmtId="178" fontId="31" fillId="2" borderId="1" xfId="0" applyNumberFormat="true" applyFont="true" applyFill="true" applyBorder="true" applyAlignment="true">
      <alignment vertical="center" wrapText="true"/>
    </xf>
    <xf numFmtId="178" fontId="31" fillId="2" borderId="1" xfId="0" applyNumberFormat="true" applyFont="true" applyFill="true" applyBorder="true" applyAlignment="true">
      <alignment horizontal="center" vertical="center" wrapText="true"/>
    </xf>
    <xf numFmtId="180" fontId="29" fillId="0" borderId="1" xfId="0" applyNumberFormat="true" applyFont="true" applyFill="true" applyBorder="true" applyAlignment="true">
      <alignment horizontal="center" vertical="center" wrapText="true"/>
    </xf>
    <xf numFmtId="177" fontId="29" fillId="0" borderId="1" xfId="0" applyNumberFormat="true" applyFont="true" applyFill="true" applyBorder="true" applyAlignment="true">
      <alignment horizontal="center" vertical="center" wrapText="true"/>
    </xf>
    <xf numFmtId="178" fontId="29" fillId="0" borderId="1" xfId="0" applyNumberFormat="true" applyFont="true" applyFill="true" applyBorder="true" applyAlignment="true">
      <alignment horizontal="center" vertical="center"/>
    </xf>
    <xf numFmtId="177" fontId="31" fillId="0" borderId="1" xfId="0" applyNumberFormat="true" applyFont="true" applyFill="true" applyBorder="true" applyAlignment="true">
      <alignment horizontal="center" vertical="center" wrapText="true"/>
    </xf>
    <xf numFmtId="178" fontId="31" fillId="0" borderId="2" xfId="0" applyNumberFormat="true" applyFont="true" applyFill="true" applyBorder="true" applyAlignment="true">
      <alignment horizontal="center" vertical="center" wrapText="true"/>
    </xf>
    <xf numFmtId="178" fontId="31" fillId="0" borderId="4" xfId="0" applyNumberFormat="true" applyFont="true" applyFill="true" applyBorder="true" applyAlignment="true">
      <alignment horizontal="center" vertical="center" wrapText="true"/>
    </xf>
    <xf numFmtId="178" fontId="21" fillId="0" borderId="0" xfId="0" applyNumberFormat="true" applyFont="true" applyFill="true" applyAlignment="true">
      <alignment horizontal="center" vertical="center" wrapText="true"/>
    </xf>
    <xf numFmtId="178" fontId="22" fillId="0" borderId="0" xfId="0" applyNumberFormat="true" applyFont="true" applyFill="true" applyAlignment="true">
      <alignment horizontal="center" vertical="center" wrapText="true"/>
    </xf>
    <xf numFmtId="178" fontId="33" fillId="0" borderId="1" xfId="0" applyNumberFormat="true" applyFont="true" applyFill="true" applyBorder="true" applyAlignment="true">
      <alignment horizontal="center" vertical="center" wrapText="true"/>
    </xf>
    <xf numFmtId="178" fontId="31" fillId="0" borderId="3" xfId="0" applyNumberFormat="true" applyFont="true" applyFill="true" applyBorder="true" applyAlignment="true">
      <alignment horizontal="center" vertical="center" wrapText="true"/>
    </xf>
    <xf numFmtId="181" fontId="22" fillId="0" borderId="0" xfId="0" applyNumberFormat="true" applyFont="true" applyFill="true" applyAlignment="true">
      <alignment vertical="center" wrapText="true"/>
    </xf>
    <xf numFmtId="181" fontId="22" fillId="2" borderId="0" xfId="0" applyNumberFormat="true" applyFont="true" applyFill="true" applyAlignment="true">
      <alignment vertical="center" wrapText="true"/>
    </xf>
    <xf numFmtId="178" fontId="22" fillId="0" borderId="0" xfId="0" applyNumberFormat="true" applyFont="true" applyFill="true" applyBorder="true" applyAlignment="true">
      <alignment horizontal="center" vertical="center" wrapText="true"/>
    </xf>
    <xf numFmtId="178" fontId="21" fillId="6" borderId="0" xfId="0" applyNumberFormat="true" applyFont="true" applyFill="true" applyAlignment="true">
      <alignment horizontal="center" vertical="center" wrapText="true"/>
    </xf>
    <xf numFmtId="176" fontId="21" fillId="0" borderId="0" xfId="0" applyNumberFormat="true" applyFont="true" applyFill="true" applyAlignment="true">
      <alignment horizontal="center" vertical="center" wrapText="true"/>
    </xf>
    <xf numFmtId="182" fontId="34" fillId="0" borderId="1" xfId="0" applyNumberFormat="true" applyFont="true" applyFill="true" applyBorder="true" applyAlignment="true">
      <alignment horizontal="center" vertical="center" wrapText="true"/>
    </xf>
    <xf numFmtId="182" fontId="22" fillId="0" borderId="5" xfId="0" applyNumberFormat="true" applyFont="true" applyFill="true" applyBorder="true" applyAlignment="true">
      <alignment horizontal="center" vertical="center" wrapText="true"/>
    </xf>
    <xf numFmtId="182" fontId="32" fillId="0" borderId="5" xfId="0" applyNumberFormat="true" applyFont="true" applyFill="true" applyBorder="true" applyAlignment="true">
      <alignment horizontal="center" vertical="center" wrapText="true"/>
    </xf>
    <xf numFmtId="182" fontId="32" fillId="0" borderId="1" xfId="0" applyNumberFormat="true" applyFont="true" applyFill="true" applyBorder="true" applyAlignment="true">
      <alignment vertical="center" wrapText="true"/>
    </xf>
    <xf numFmtId="182" fontId="21" fillId="0" borderId="1" xfId="0" applyNumberFormat="true" applyFont="true" applyFill="true" applyBorder="true" applyAlignment="true">
      <alignment horizontal="center" vertical="center" wrapText="true"/>
    </xf>
    <xf numFmtId="182" fontId="33" fillId="0" borderId="1" xfId="0" applyNumberFormat="true" applyFont="true" applyFill="true" applyBorder="true" applyAlignment="true">
      <alignment vertical="center" wrapText="true"/>
    </xf>
    <xf numFmtId="182" fontId="33" fillId="0" borderId="1" xfId="0" applyNumberFormat="true" applyFont="true" applyFill="true" applyBorder="true" applyAlignment="true">
      <alignment horizontal="center" vertical="center" wrapText="true"/>
    </xf>
    <xf numFmtId="182" fontId="22" fillId="0" borderId="0" xfId="0" applyNumberFormat="true" applyFont="true" applyFill="true" applyAlignment="true">
      <alignment horizontal="center" vertical="center" wrapText="true"/>
    </xf>
    <xf numFmtId="182" fontId="32" fillId="0" borderId="0" xfId="0" applyNumberFormat="true" applyFont="true" applyFill="true" applyAlignment="true">
      <alignment vertical="center" wrapText="true"/>
    </xf>
    <xf numFmtId="182" fontId="32" fillId="0" borderId="0" xfId="0" applyNumberFormat="true" applyFont="true" applyFill="true" applyAlignment="true">
      <alignment horizontal="center" vertical="center" wrapText="true"/>
    </xf>
    <xf numFmtId="178" fontId="32" fillId="0" borderId="0" xfId="0" applyNumberFormat="true" applyFont="true" applyFill="true" applyAlignment="true">
      <alignment vertical="center" wrapText="true"/>
    </xf>
    <xf numFmtId="178" fontId="32" fillId="0" borderId="0" xfId="0" applyNumberFormat="true" applyFont="true" applyFill="true" applyAlignment="true">
      <alignment horizontal="center" vertical="center" wrapText="true"/>
    </xf>
    <xf numFmtId="178" fontId="33" fillId="0" borderId="0" xfId="0" applyNumberFormat="true" applyFont="true" applyFill="true" applyAlignment="true">
      <alignment vertical="center" wrapText="true"/>
    </xf>
    <xf numFmtId="0" fontId="31" fillId="0" borderId="6" xfId="0" applyFont="true" applyBorder="true" applyAlignment="true">
      <alignment horizontal="center" vertical="center" wrapText="true"/>
    </xf>
    <xf numFmtId="0" fontId="31" fillId="0" borderId="7" xfId="0" applyFont="true" applyBorder="true" applyAlignment="true">
      <alignment horizontal="center" vertical="center" wrapText="true"/>
    </xf>
    <xf numFmtId="0" fontId="31" fillId="0" borderId="8" xfId="0" applyFont="true" applyBorder="true" applyAlignment="true">
      <alignment horizontal="center" vertical="center" wrapText="true"/>
    </xf>
    <xf numFmtId="0" fontId="31" fillId="0" borderId="9" xfId="0" applyFont="true" applyBorder="true" applyAlignment="true">
      <alignment horizontal="center" vertical="center" wrapText="true"/>
    </xf>
    <xf numFmtId="178" fontId="31" fillId="0" borderId="9" xfId="0" applyNumberFormat="true" applyFont="true" applyBorder="true" applyAlignment="true">
      <alignment horizontal="center" vertical="center" wrapText="true"/>
    </xf>
    <xf numFmtId="179" fontId="31" fillId="0" borderId="9" xfId="0" applyNumberFormat="true" applyFont="true" applyBorder="true" applyAlignment="true">
      <alignment horizontal="center" vertical="center" wrapText="true"/>
    </xf>
    <xf numFmtId="0" fontId="31" fillId="0" borderId="10" xfId="0" applyFont="true" applyBorder="true" applyAlignment="true">
      <alignment horizontal="center" vertical="center" wrapText="true"/>
    </xf>
    <xf numFmtId="0" fontId="31" fillId="0" borderId="11" xfId="0" applyFont="true" applyBorder="true" applyAlignment="true">
      <alignment horizontal="center" vertical="center" wrapText="true"/>
    </xf>
    <xf numFmtId="178" fontId="31" fillId="0" borderId="11" xfId="0" applyNumberFormat="true" applyFont="true" applyBorder="true" applyAlignment="true">
      <alignment horizontal="center" vertical="center" wrapText="true"/>
    </xf>
    <xf numFmtId="180" fontId="32" fillId="0" borderId="0" xfId="0" applyNumberFormat="true" applyFont="true" applyFill="true" applyAlignment="true">
      <alignment horizontal="center" vertical="center" wrapText="true"/>
    </xf>
    <xf numFmtId="178" fontId="35" fillId="0" borderId="0" xfId="0" applyNumberFormat="true" applyFont="true" applyFill="true" applyAlignment="true">
      <alignment horizontal="center" vertical="center" wrapText="true"/>
    </xf>
    <xf numFmtId="0" fontId="31" fillId="0" borderId="7" xfId="0" applyFont="true" applyFill="true" applyBorder="true" applyAlignment="true">
      <alignment horizontal="center" vertical="center" wrapText="true"/>
    </xf>
    <xf numFmtId="0" fontId="31" fillId="0" borderId="12" xfId="0" applyFont="true" applyBorder="true" applyAlignment="true">
      <alignment horizontal="center" vertical="center" wrapText="true"/>
    </xf>
    <xf numFmtId="178" fontId="35" fillId="0" borderId="0" xfId="0" applyNumberFormat="true" applyFont="true" applyFill="true" applyAlignment="true">
      <alignment vertical="center" wrapText="true"/>
    </xf>
    <xf numFmtId="178" fontId="31" fillId="0" borderId="9" xfId="0" applyNumberFormat="true" applyFont="true" applyFill="true" applyBorder="true" applyAlignment="true">
      <alignment horizontal="center" vertical="center" wrapText="true"/>
    </xf>
    <xf numFmtId="0" fontId="31" fillId="0" borderId="13" xfId="0" applyFont="true" applyBorder="true" applyAlignment="true">
      <alignment horizontal="center" vertical="center" wrapText="true"/>
    </xf>
    <xf numFmtId="0" fontId="31" fillId="0" borderId="9" xfId="0" applyFont="true" applyFill="true" applyBorder="true" applyAlignment="true">
      <alignment horizontal="center" vertical="center" wrapText="true"/>
    </xf>
    <xf numFmtId="0" fontId="31" fillId="0" borderId="11" xfId="0" applyFont="true" applyFill="true" applyBorder="true" applyAlignment="true">
      <alignment horizontal="center" vertical="center" wrapText="true"/>
    </xf>
    <xf numFmtId="0" fontId="23" fillId="0" borderId="14" xfId="0" applyFont="true" applyBorder="true" applyAlignment="true">
      <alignment horizontal="center" vertical="center"/>
    </xf>
    <xf numFmtId="178" fontId="30" fillId="0" borderId="0" xfId="0" applyNumberFormat="true" applyFont="true" applyFill="true" applyAlignment="true">
      <alignment vertical="center" wrapText="true"/>
    </xf>
  </cellXfs>
  <cellStyles count="52">
    <cellStyle name="常规" xfId="0" builtinId="0"/>
    <cellStyle name="Normal" xfId="1"/>
    <cellStyle name="普通_总表_1_施湾初总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常规_2.陵水县香水湾物业管理中心小区土方工程概算审查汇总表" xfId="36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222885</xdr:colOff>
      <xdr:row>43</xdr:row>
      <xdr:rowOff>231140</xdr:rowOff>
    </xdr:from>
    <xdr:to>
      <xdr:col>28</xdr:col>
      <xdr:colOff>638810</xdr:colOff>
      <xdr:row>62</xdr:row>
      <xdr:rowOff>252095</xdr:rowOff>
    </xdr:to>
    <xdr:pic>
      <xdr:nvPicPr>
        <xdr:cNvPr id="2" name="图片 1" descr="微信图片_2024081418325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30655" y="11826240"/>
          <a:ext cx="10074275" cy="4846955"/>
        </a:xfrm>
        <a:prstGeom prst="rect">
          <a:avLst/>
        </a:prstGeom>
      </xdr:spPr>
    </xdr:pic>
    <xdr:clientData/>
  </xdr:twoCellAnchor>
  <xdr:twoCellAnchor editAs="oneCell">
    <xdr:from>
      <xdr:col>14</xdr:col>
      <xdr:colOff>148590</xdr:colOff>
      <xdr:row>64</xdr:row>
      <xdr:rowOff>117475</xdr:rowOff>
    </xdr:from>
    <xdr:to>
      <xdr:col>24</xdr:col>
      <xdr:colOff>253365</xdr:colOff>
      <xdr:row>72</xdr:row>
      <xdr:rowOff>228600</xdr:rowOff>
    </xdr:to>
    <xdr:pic>
      <xdr:nvPicPr>
        <xdr:cNvPr id="3" name="图片 2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>
          <a:off x="14056360" y="17046575"/>
          <a:ext cx="7019925" cy="2143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4"/>
  <sheetViews>
    <sheetView zoomScale="55" zoomScaleNormal="55" topLeftCell="A20" workbookViewId="0">
      <selection activeCell="P38" sqref="P38"/>
    </sheetView>
  </sheetViews>
  <sheetFormatPr defaultColWidth="9" defaultRowHeight="13.5"/>
  <cols>
    <col min="1" max="1" width="5.625" style="93" customWidth="true"/>
    <col min="2" max="2" width="7.625" style="94" customWidth="true"/>
    <col min="3" max="4" width="4.625" style="95" customWidth="true"/>
    <col min="5" max="5" width="37.625" style="96" customWidth="true"/>
    <col min="6" max="6" width="15.625" style="97" customWidth="true"/>
    <col min="7" max="8" width="12.625" style="97" customWidth="true"/>
    <col min="9" max="9" width="13.625" style="97" customWidth="true"/>
    <col min="10" max="10" width="15.625" style="97" customWidth="true"/>
    <col min="11" max="11" width="8.625" style="97" customWidth="true"/>
    <col min="12" max="12" width="13.625" style="98" customWidth="true"/>
    <col min="13" max="13" width="13.625" style="97" customWidth="true"/>
    <col min="14" max="14" width="28.625" style="97" customWidth="true"/>
    <col min="15" max="15" width="19.9916666666667" style="22" customWidth="true"/>
    <col min="16" max="16" width="17.75" style="22" customWidth="true"/>
    <col min="17" max="17" width="11.5083333333333" style="22" customWidth="true"/>
    <col min="18" max="18" width="10.625" style="22" customWidth="true"/>
    <col min="19" max="19" width="12.5083333333333" style="22" customWidth="true"/>
    <col min="20" max="20" width="20.625" style="22" customWidth="true"/>
    <col min="21" max="16384" width="9" style="22"/>
  </cols>
  <sheetData>
    <row r="1" ht="30" customHeight="true" spans="1:14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ht="30" customHeight="true" spans="1:14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ht="35" customHeight="true" spans="1:14">
      <c r="A3" s="101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="88" customFormat="true" ht="35" customHeight="true" spans="1:20">
      <c r="A4" s="103" t="s">
        <v>2</v>
      </c>
      <c r="B4" s="104" t="s">
        <v>3</v>
      </c>
      <c r="C4" s="105" t="s">
        <v>4</v>
      </c>
      <c r="D4" s="105" t="s">
        <v>5</v>
      </c>
      <c r="E4" s="118" t="s">
        <v>6</v>
      </c>
      <c r="F4" s="118" t="s">
        <v>7</v>
      </c>
      <c r="G4" s="118"/>
      <c r="H4" s="118"/>
      <c r="I4" s="118"/>
      <c r="J4" s="118"/>
      <c r="K4" s="118" t="s">
        <v>8</v>
      </c>
      <c r="L4" s="118"/>
      <c r="M4" s="118"/>
      <c r="N4" s="118" t="s">
        <v>9</v>
      </c>
      <c r="O4" s="133" t="s">
        <v>10</v>
      </c>
      <c r="Q4" s="88" t="s">
        <v>11</v>
      </c>
      <c r="R4" s="88" t="s">
        <v>12</v>
      </c>
      <c r="S4" s="88" t="s">
        <v>13</v>
      </c>
      <c r="T4" s="133" t="s">
        <v>14</v>
      </c>
    </row>
    <row r="5" s="88" customFormat="true" ht="35" customHeight="true" spans="1:14">
      <c r="A5" s="103"/>
      <c r="B5" s="104"/>
      <c r="C5" s="105"/>
      <c r="D5" s="105"/>
      <c r="E5" s="118"/>
      <c r="F5" s="118" t="s">
        <v>15</v>
      </c>
      <c r="G5" s="118" t="s">
        <v>16</v>
      </c>
      <c r="H5" s="118" t="s">
        <v>17</v>
      </c>
      <c r="I5" s="118" t="s">
        <v>18</v>
      </c>
      <c r="J5" s="118" t="s">
        <v>19</v>
      </c>
      <c r="K5" s="127" t="s">
        <v>20</v>
      </c>
      <c r="L5" s="127" t="s">
        <v>21</v>
      </c>
      <c r="M5" s="118" t="s">
        <v>22</v>
      </c>
      <c r="N5" s="118"/>
    </row>
    <row r="6" s="88" customFormat="true" ht="35" customHeight="true" spans="1:19">
      <c r="A6" s="103"/>
      <c r="B6" s="104"/>
      <c r="C6" s="105"/>
      <c r="D6" s="105"/>
      <c r="E6" s="119" t="s">
        <v>23</v>
      </c>
      <c r="F6" s="118">
        <f>F7+F19</f>
        <v>6247.264896</v>
      </c>
      <c r="G6" s="118"/>
      <c r="H6" s="118"/>
      <c r="I6" s="118"/>
      <c r="J6" s="118">
        <f>SUM(F6:I6)</f>
        <v>6247.264896</v>
      </c>
      <c r="K6" s="118" t="s">
        <v>24</v>
      </c>
      <c r="L6" s="128">
        <f>L7+L19</f>
        <v>41182.492</v>
      </c>
      <c r="M6" s="118">
        <f t="shared" ref="M6:M29" si="0">J6/L6*10000</f>
        <v>1516.9710701334</v>
      </c>
      <c r="N6" s="118"/>
      <c r="O6" s="88">
        <f>O7+O19</f>
        <v>6434.2</v>
      </c>
      <c r="R6" s="88">
        <f>F6/J83*100</f>
        <v>19.3539951984677</v>
      </c>
      <c r="S6" s="88">
        <f>(F6-O6)/O6*100</f>
        <v>-2.905335612819</v>
      </c>
    </row>
    <row r="7" s="88" customFormat="true" ht="35" customHeight="true" spans="1:17">
      <c r="A7" s="103">
        <v>1</v>
      </c>
      <c r="B7" s="104"/>
      <c r="C7" s="105"/>
      <c r="D7" s="105"/>
      <c r="E7" s="120" t="s">
        <v>25</v>
      </c>
      <c r="F7" s="118">
        <f>SUM(F8:F18)</f>
        <v>4268.077657</v>
      </c>
      <c r="G7" s="118"/>
      <c r="H7" s="118"/>
      <c r="I7" s="118"/>
      <c r="J7" s="129">
        <f>SUM(F7:I7)</f>
        <v>4268.077657</v>
      </c>
      <c r="K7" s="118" t="s">
        <v>24</v>
      </c>
      <c r="L7" s="128">
        <v>26150.992</v>
      </c>
      <c r="M7" s="118">
        <f t="shared" si="0"/>
        <v>1632.09015436202</v>
      </c>
      <c r="N7" s="118" t="s">
        <v>26</v>
      </c>
      <c r="O7" s="88">
        <f>SUM(O8:O18)</f>
        <v>4008.33</v>
      </c>
      <c r="P7" s="88">
        <f t="shared" ref="P7:P29" si="1">(J7-O7)/O7*100</f>
        <v>6.48019641596375</v>
      </c>
      <c r="Q7" s="88" t="s">
        <v>27</v>
      </c>
    </row>
    <row r="8" s="89" customFormat="true" ht="35" customHeight="true" spans="1:16">
      <c r="A8" s="106"/>
      <c r="B8" s="107">
        <v>1.1</v>
      </c>
      <c r="C8" s="108"/>
      <c r="D8" s="108"/>
      <c r="E8" s="121" t="s">
        <v>28</v>
      </c>
      <c r="F8" s="122">
        <v>1703.276413</v>
      </c>
      <c r="G8" s="122"/>
      <c r="H8" s="122"/>
      <c r="I8" s="122"/>
      <c r="J8" s="122">
        <f t="shared" ref="J8:J18" si="2">F8</f>
        <v>1703.276413</v>
      </c>
      <c r="K8" s="122" t="s">
        <v>29</v>
      </c>
      <c r="L8" s="130">
        <f>L7</f>
        <v>26150.992</v>
      </c>
      <c r="M8" s="122">
        <f t="shared" si="0"/>
        <v>651.32382473292</v>
      </c>
      <c r="N8" s="122"/>
      <c r="O8" s="89">
        <v>1637.25</v>
      </c>
      <c r="P8" s="88">
        <f t="shared" si="1"/>
        <v>4.03276304779355</v>
      </c>
    </row>
    <row r="9" s="89" customFormat="true" ht="35" customHeight="true" spans="1:16">
      <c r="A9" s="106"/>
      <c r="B9" s="107">
        <v>1.2</v>
      </c>
      <c r="C9" s="108"/>
      <c r="D9" s="108"/>
      <c r="E9" s="121" t="s">
        <v>30</v>
      </c>
      <c r="F9" s="122">
        <v>420.168905</v>
      </c>
      <c r="G9" s="122"/>
      <c r="H9" s="122"/>
      <c r="I9" s="122"/>
      <c r="J9" s="122">
        <f t="shared" si="2"/>
        <v>420.168905</v>
      </c>
      <c r="K9" s="122" t="s">
        <v>29</v>
      </c>
      <c r="L9" s="130">
        <f>L7</f>
        <v>26150.992</v>
      </c>
      <c r="M9" s="122">
        <f t="shared" si="0"/>
        <v>160.670350478483</v>
      </c>
      <c r="N9" s="122"/>
      <c r="O9" s="89">
        <f>269.6+11</f>
        <v>280.6</v>
      </c>
      <c r="P9" s="88">
        <f t="shared" si="1"/>
        <v>49.7394529579472</v>
      </c>
    </row>
    <row r="10" s="89" customFormat="true" ht="35" customHeight="true" spans="1:16">
      <c r="A10" s="106"/>
      <c r="B10" s="107">
        <v>1.3</v>
      </c>
      <c r="C10" s="108"/>
      <c r="D10" s="108"/>
      <c r="E10" s="121" t="s">
        <v>31</v>
      </c>
      <c r="F10" s="122">
        <v>56.920131</v>
      </c>
      <c r="G10" s="122"/>
      <c r="H10" s="122"/>
      <c r="I10" s="122"/>
      <c r="J10" s="122">
        <f t="shared" si="2"/>
        <v>56.920131</v>
      </c>
      <c r="K10" s="122" t="s">
        <v>29</v>
      </c>
      <c r="L10" s="130">
        <f>L7</f>
        <v>26150.992</v>
      </c>
      <c r="M10" s="122">
        <f t="shared" si="0"/>
        <v>21.7659548058445</v>
      </c>
      <c r="N10" s="123" t="s">
        <v>32</v>
      </c>
      <c r="O10" s="89">
        <v>464.95</v>
      </c>
      <c r="P10" s="88">
        <f t="shared" si="1"/>
        <v>-87.7577952468007</v>
      </c>
    </row>
    <row r="11" s="89" customFormat="true" ht="35" customHeight="true" spans="1:16">
      <c r="A11" s="106"/>
      <c r="B11" s="107">
        <v>1.4</v>
      </c>
      <c r="C11" s="108"/>
      <c r="D11" s="108"/>
      <c r="E11" s="121" t="s">
        <v>33</v>
      </c>
      <c r="F11" s="122">
        <v>366.712444</v>
      </c>
      <c r="G11" s="122"/>
      <c r="H11" s="122"/>
      <c r="I11" s="122"/>
      <c r="J11" s="122">
        <f t="shared" si="2"/>
        <v>366.712444</v>
      </c>
      <c r="K11" s="122" t="s">
        <v>29</v>
      </c>
      <c r="L11" s="130">
        <f>L7</f>
        <v>26150.992</v>
      </c>
      <c r="M11" s="122">
        <f t="shared" si="0"/>
        <v>140.228884625103</v>
      </c>
      <c r="N11" s="122"/>
      <c r="O11" s="89">
        <v>217.31</v>
      </c>
      <c r="P11" s="88">
        <f t="shared" si="1"/>
        <v>68.7508370530579</v>
      </c>
    </row>
    <row r="12" s="89" customFormat="true" ht="35" customHeight="true" spans="1:16">
      <c r="A12" s="106"/>
      <c r="B12" s="107">
        <v>1.5</v>
      </c>
      <c r="C12" s="108"/>
      <c r="D12" s="108"/>
      <c r="E12" s="121" t="s">
        <v>34</v>
      </c>
      <c r="F12" s="122">
        <v>115.865416</v>
      </c>
      <c r="G12" s="122"/>
      <c r="H12" s="122"/>
      <c r="I12" s="122"/>
      <c r="J12" s="122">
        <f t="shared" si="2"/>
        <v>115.865416</v>
      </c>
      <c r="K12" s="122" t="s">
        <v>29</v>
      </c>
      <c r="L12" s="130">
        <f>L7</f>
        <v>26150.992</v>
      </c>
      <c r="M12" s="122">
        <f t="shared" si="0"/>
        <v>44.3063177106245</v>
      </c>
      <c r="N12" s="122"/>
      <c r="O12" s="89">
        <v>75.23</v>
      </c>
      <c r="P12" s="88">
        <f t="shared" si="1"/>
        <v>54.0149089458992</v>
      </c>
    </row>
    <row r="13" s="89" customFormat="true" ht="35" customHeight="true" spans="1:16">
      <c r="A13" s="106"/>
      <c r="B13" s="107">
        <v>1.6</v>
      </c>
      <c r="C13" s="108"/>
      <c r="D13" s="108"/>
      <c r="E13" s="121" t="s">
        <v>35</v>
      </c>
      <c r="F13" s="122">
        <v>422.132276</v>
      </c>
      <c r="G13" s="122"/>
      <c r="H13" s="122"/>
      <c r="I13" s="122"/>
      <c r="J13" s="122">
        <f t="shared" si="2"/>
        <v>422.132276</v>
      </c>
      <c r="K13" s="122" t="s">
        <v>29</v>
      </c>
      <c r="L13" s="130">
        <f>L7</f>
        <v>26150.992</v>
      </c>
      <c r="M13" s="122">
        <f t="shared" si="0"/>
        <v>161.421133087418</v>
      </c>
      <c r="N13" s="122"/>
      <c r="O13" s="89">
        <v>441.49</v>
      </c>
      <c r="P13" s="88">
        <f t="shared" si="1"/>
        <v>-4.38463475956421</v>
      </c>
    </row>
    <row r="14" s="89" customFormat="true" ht="35" customHeight="true" spans="1:16">
      <c r="A14" s="106"/>
      <c r="B14" s="107">
        <v>1.7</v>
      </c>
      <c r="C14" s="108"/>
      <c r="D14" s="108"/>
      <c r="E14" s="121" t="s">
        <v>36</v>
      </c>
      <c r="F14" s="122">
        <v>374.420949</v>
      </c>
      <c r="G14" s="122"/>
      <c r="H14" s="122"/>
      <c r="I14" s="122"/>
      <c r="J14" s="122">
        <f t="shared" si="2"/>
        <v>374.420949</v>
      </c>
      <c r="K14" s="122" t="s">
        <v>29</v>
      </c>
      <c r="L14" s="130">
        <f>L7</f>
        <v>26150.992</v>
      </c>
      <c r="M14" s="122">
        <f t="shared" si="0"/>
        <v>143.176575863738</v>
      </c>
      <c r="N14" s="122"/>
      <c r="O14" s="89">
        <v>326.37</v>
      </c>
      <c r="P14" s="88">
        <f t="shared" si="1"/>
        <v>14.7228449306002</v>
      </c>
    </row>
    <row r="15" s="89" customFormat="true" ht="35" customHeight="true" spans="1:16">
      <c r="A15" s="106"/>
      <c r="B15" s="107">
        <v>1.8</v>
      </c>
      <c r="C15" s="108"/>
      <c r="D15" s="108"/>
      <c r="E15" s="121" t="s">
        <v>37</v>
      </c>
      <c r="F15" s="122">
        <v>357.990137</v>
      </c>
      <c r="G15" s="122"/>
      <c r="H15" s="122"/>
      <c r="I15" s="122"/>
      <c r="J15" s="122">
        <f t="shared" si="2"/>
        <v>357.990137</v>
      </c>
      <c r="K15" s="122" t="s">
        <v>29</v>
      </c>
      <c r="L15" s="130">
        <f>L11</f>
        <v>26150.992</v>
      </c>
      <c r="M15" s="122">
        <f t="shared" si="0"/>
        <v>136.893520903528</v>
      </c>
      <c r="N15" s="122"/>
      <c r="O15" s="89">
        <f>83.1+29.79+27.72</f>
        <v>140.61</v>
      </c>
      <c r="P15" s="88">
        <f t="shared" si="1"/>
        <v>154.597921200484</v>
      </c>
    </row>
    <row r="16" s="89" customFormat="true" ht="35" customHeight="true" spans="1:16">
      <c r="A16" s="106"/>
      <c r="B16" s="107">
        <v>1.9</v>
      </c>
      <c r="C16" s="108"/>
      <c r="D16" s="108"/>
      <c r="E16" s="121" t="s">
        <v>38</v>
      </c>
      <c r="F16" s="122">
        <v>126.912078</v>
      </c>
      <c r="G16" s="122"/>
      <c r="H16" s="122"/>
      <c r="I16" s="122"/>
      <c r="J16" s="122">
        <f t="shared" si="2"/>
        <v>126.912078</v>
      </c>
      <c r="K16" s="122" t="s">
        <v>29</v>
      </c>
      <c r="L16" s="130">
        <f>L11</f>
        <v>26150.992</v>
      </c>
      <c r="M16" s="122">
        <f t="shared" si="0"/>
        <v>48.5305023992971</v>
      </c>
      <c r="N16" s="122"/>
      <c r="O16" s="89">
        <f>282.69-O15</f>
        <v>142.08</v>
      </c>
      <c r="P16" s="88">
        <f t="shared" si="1"/>
        <v>-10.675620777027</v>
      </c>
    </row>
    <row r="17" s="89" customFormat="true" ht="35" customHeight="true" spans="1:16">
      <c r="A17" s="106"/>
      <c r="B17" s="109">
        <v>1.1</v>
      </c>
      <c r="C17" s="108"/>
      <c r="D17" s="108"/>
      <c r="E17" s="121" t="s">
        <v>39</v>
      </c>
      <c r="F17" s="122">
        <v>188.295321</v>
      </c>
      <c r="G17" s="122"/>
      <c r="H17" s="122"/>
      <c r="I17" s="122"/>
      <c r="J17" s="122">
        <f t="shared" si="2"/>
        <v>188.295321</v>
      </c>
      <c r="K17" s="122" t="s">
        <v>29</v>
      </c>
      <c r="L17" s="130">
        <f>L11</f>
        <v>26150.992</v>
      </c>
      <c r="M17" s="122">
        <f t="shared" si="0"/>
        <v>72.0031274530618</v>
      </c>
      <c r="N17" s="122"/>
      <c r="O17" s="89">
        <v>134.32</v>
      </c>
      <c r="P17" s="88">
        <f t="shared" si="1"/>
        <v>40.1841282013103</v>
      </c>
    </row>
    <row r="18" s="89" customFormat="true" ht="35" customHeight="true" spans="1:16">
      <c r="A18" s="106"/>
      <c r="B18" s="109">
        <v>1.11</v>
      </c>
      <c r="C18" s="108"/>
      <c r="D18" s="108"/>
      <c r="E18" s="121" t="s">
        <v>40</v>
      </c>
      <c r="F18" s="122">
        <v>135.383587</v>
      </c>
      <c r="G18" s="122"/>
      <c r="H18" s="122"/>
      <c r="I18" s="122"/>
      <c r="J18" s="122">
        <f t="shared" si="2"/>
        <v>135.383587</v>
      </c>
      <c r="K18" s="122" t="s">
        <v>29</v>
      </c>
      <c r="L18" s="130">
        <f>L11</f>
        <v>26150.992</v>
      </c>
      <c r="M18" s="122">
        <f t="shared" si="0"/>
        <v>51.7699623020037</v>
      </c>
      <c r="N18" s="122"/>
      <c r="O18" s="89">
        <v>148.12</v>
      </c>
      <c r="P18" s="88">
        <f t="shared" si="1"/>
        <v>-8.59871253038077</v>
      </c>
    </row>
    <row r="19" s="88" customFormat="true" ht="35" customHeight="true" spans="1:17">
      <c r="A19" s="103">
        <v>2</v>
      </c>
      <c r="B19" s="104"/>
      <c r="C19" s="105"/>
      <c r="D19" s="105"/>
      <c r="E19" s="120" t="s">
        <v>41</v>
      </c>
      <c r="F19" s="118">
        <f>SUM(F20:F29)</f>
        <v>1979.187239</v>
      </c>
      <c r="G19" s="118"/>
      <c r="H19" s="118"/>
      <c r="I19" s="118"/>
      <c r="J19" s="129">
        <f>SUM(F19:I19)</f>
        <v>1979.187239</v>
      </c>
      <c r="K19" s="118" t="s">
        <v>24</v>
      </c>
      <c r="L19" s="128">
        <v>15031.5</v>
      </c>
      <c r="M19" s="118">
        <f t="shared" si="0"/>
        <v>1316.69310381532</v>
      </c>
      <c r="N19" s="118" t="s">
        <v>42</v>
      </c>
      <c r="O19" s="88">
        <f>SUM(O20:O29)</f>
        <v>2425.87</v>
      </c>
      <c r="P19" s="88">
        <f t="shared" si="1"/>
        <v>-18.4133016608474</v>
      </c>
      <c r="Q19" s="88" t="s">
        <v>43</v>
      </c>
    </row>
    <row r="20" s="89" customFormat="true" ht="35" customHeight="true" spans="1:16">
      <c r="A20" s="106"/>
      <c r="B20" s="107">
        <v>2.1</v>
      </c>
      <c r="C20" s="108"/>
      <c r="D20" s="108"/>
      <c r="E20" s="121" t="s">
        <v>44</v>
      </c>
      <c r="F20" s="122">
        <v>881.782189</v>
      </c>
      <c r="G20" s="122"/>
      <c r="H20" s="122"/>
      <c r="I20" s="122"/>
      <c r="J20" s="122">
        <f t="shared" ref="J20:J29" si="3">F20</f>
        <v>881.782189</v>
      </c>
      <c r="K20" s="122" t="s">
        <v>29</v>
      </c>
      <c r="L20" s="130">
        <f>L19</f>
        <v>15031.5</v>
      </c>
      <c r="M20" s="122">
        <f t="shared" si="0"/>
        <v>586.622884608988</v>
      </c>
      <c r="N20" s="122"/>
      <c r="O20" s="89">
        <v>794.26</v>
      </c>
      <c r="P20" s="88">
        <f t="shared" si="1"/>
        <v>11.0193373706343</v>
      </c>
    </row>
    <row r="21" s="89" customFormat="true" ht="35" customHeight="true" spans="1:16">
      <c r="A21" s="106"/>
      <c r="B21" s="107">
        <v>2.2</v>
      </c>
      <c r="C21" s="108"/>
      <c r="D21" s="108"/>
      <c r="E21" s="121" t="s">
        <v>45</v>
      </c>
      <c r="F21" s="122">
        <v>90.639255</v>
      </c>
      <c r="G21" s="122"/>
      <c r="H21" s="122"/>
      <c r="I21" s="122"/>
      <c r="J21" s="122">
        <f t="shared" si="3"/>
        <v>90.639255</v>
      </c>
      <c r="K21" s="122" t="s">
        <v>29</v>
      </c>
      <c r="L21" s="130">
        <f>L19</f>
        <v>15031.5</v>
      </c>
      <c r="M21" s="122">
        <f t="shared" si="0"/>
        <v>60.2995409639757</v>
      </c>
      <c r="N21" s="122"/>
      <c r="O21" s="89">
        <f>128.26+5.5</f>
        <v>133.76</v>
      </c>
      <c r="P21" s="88">
        <f t="shared" si="1"/>
        <v>-32.2373990729665</v>
      </c>
    </row>
    <row r="22" s="89" customFormat="true" ht="35" customHeight="true" spans="1:16">
      <c r="A22" s="106"/>
      <c r="B22" s="107">
        <v>2.3</v>
      </c>
      <c r="C22" s="108"/>
      <c r="D22" s="108"/>
      <c r="E22" s="121" t="s">
        <v>46</v>
      </c>
      <c r="F22" s="122">
        <v>53.995672</v>
      </c>
      <c r="G22" s="122"/>
      <c r="H22" s="122"/>
      <c r="I22" s="122"/>
      <c r="J22" s="122">
        <f t="shared" si="3"/>
        <v>53.995672</v>
      </c>
      <c r="K22" s="122" t="s">
        <v>29</v>
      </c>
      <c r="L22" s="130">
        <f>L19</f>
        <v>15031.5</v>
      </c>
      <c r="M22" s="122">
        <f t="shared" si="0"/>
        <v>35.9216791404717</v>
      </c>
      <c r="N22" s="123" t="s">
        <v>47</v>
      </c>
      <c r="O22" s="89">
        <v>492.29</v>
      </c>
      <c r="P22" s="88">
        <f t="shared" si="1"/>
        <v>-89.0317349529749</v>
      </c>
    </row>
    <row r="23" s="89" customFormat="true" ht="35" customHeight="true" spans="1:16">
      <c r="A23" s="106"/>
      <c r="B23" s="107">
        <v>2.4</v>
      </c>
      <c r="C23" s="108"/>
      <c r="D23" s="108"/>
      <c r="E23" s="121" t="s">
        <v>48</v>
      </c>
      <c r="F23" s="122">
        <v>125.522199</v>
      </c>
      <c r="G23" s="122"/>
      <c r="H23" s="122"/>
      <c r="I23" s="122"/>
      <c r="J23" s="122">
        <f t="shared" si="3"/>
        <v>125.522199</v>
      </c>
      <c r="K23" s="122" t="s">
        <v>29</v>
      </c>
      <c r="L23" s="130">
        <f>L19</f>
        <v>15031.5</v>
      </c>
      <c r="M23" s="122">
        <f t="shared" si="0"/>
        <v>83.506103183315</v>
      </c>
      <c r="N23" s="122"/>
      <c r="O23" s="89">
        <v>131.37</v>
      </c>
      <c r="P23" s="88">
        <f t="shared" si="1"/>
        <v>-4.45139757935602</v>
      </c>
    </row>
    <row r="24" s="89" customFormat="true" ht="35" customHeight="true" spans="1:16">
      <c r="A24" s="106"/>
      <c r="B24" s="107">
        <v>2.5</v>
      </c>
      <c r="C24" s="108"/>
      <c r="D24" s="108"/>
      <c r="E24" s="121" t="s">
        <v>49</v>
      </c>
      <c r="F24" s="122">
        <v>216.364454</v>
      </c>
      <c r="G24" s="122"/>
      <c r="H24" s="122"/>
      <c r="I24" s="122"/>
      <c r="J24" s="122">
        <f t="shared" si="3"/>
        <v>216.364454</v>
      </c>
      <c r="K24" s="122" t="s">
        <v>29</v>
      </c>
      <c r="L24" s="130">
        <f>L19</f>
        <v>15031.5</v>
      </c>
      <c r="M24" s="122">
        <f t="shared" si="0"/>
        <v>143.940693876193</v>
      </c>
      <c r="N24" s="122"/>
      <c r="O24" s="89">
        <v>305.69</v>
      </c>
      <c r="P24" s="88">
        <f t="shared" si="1"/>
        <v>-29.2209578330989</v>
      </c>
    </row>
    <row r="25" s="89" customFormat="true" ht="35" customHeight="true" spans="1:16">
      <c r="A25" s="106"/>
      <c r="B25" s="107">
        <v>2.6</v>
      </c>
      <c r="C25" s="108"/>
      <c r="D25" s="108"/>
      <c r="E25" s="121" t="s">
        <v>50</v>
      </c>
      <c r="F25" s="122">
        <v>207.012134</v>
      </c>
      <c r="G25" s="122"/>
      <c r="H25" s="122"/>
      <c r="I25" s="122"/>
      <c r="J25" s="122">
        <f t="shared" si="3"/>
        <v>207.012134</v>
      </c>
      <c r="K25" s="122" t="s">
        <v>29</v>
      </c>
      <c r="L25" s="130">
        <f>L19</f>
        <v>15031.5</v>
      </c>
      <c r="M25" s="122">
        <f t="shared" si="0"/>
        <v>137.718879685993</v>
      </c>
      <c r="N25" s="122"/>
      <c r="O25" s="89">
        <v>226.36</v>
      </c>
      <c r="P25" s="88">
        <f t="shared" si="1"/>
        <v>-8.54738734758792</v>
      </c>
    </row>
    <row r="26" s="89" customFormat="true" ht="35" customHeight="true" spans="1:16">
      <c r="A26" s="106"/>
      <c r="B26" s="107">
        <v>2.7</v>
      </c>
      <c r="C26" s="108"/>
      <c r="D26" s="108"/>
      <c r="E26" s="121" t="s">
        <v>51</v>
      </c>
      <c r="F26" s="122">
        <v>140.085064</v>
      </c>
      <c r="G26" s="122"/>
      <c r="H26" s="122"/>
      <c r="I26" s="122"/>
      <c r="J26" s="122">
        <f t="shared" si="3"/>
        <v>140.085064</v>
      </c>
      <c r="K26" s="122" t="s">
        <v>29</v>
      </c>
      <c r="L26" s="130">
        <f t="shared" ref="L26:L29" si="4">L19</f>
        <v>15031.5</v>
      </c>
      <c r="M26" s="122">
        <f t="shared" si="0"/>
        <v>93.1943345640821</v>
      </c>
      <c r="N26" s="122"/>
      <c r="O26" s="89">
        <f>62.75+25.36+21.46</f>
        <v>109.57</v>
      </c>
      <c r="P26" s="88">
        <f t="shared" si="1"/>
        <v>27.849834808798</v>
      </c>
    </row>
    <row r="27" s="89" customFormat="true" ht="35" customHeight="true" spans="1:16">
      <c r="A27" s="106"/>
      <c r="B27" s="107">
        <v>2.8</v>
      </c>
      <c r="C27" s="108"/>
      <c r="D27" s="108"/>
      <c r="E27" s="121" t="s">
        <v>52</v>
      </c>
      <c r="F27" s="122">
        <v>66.154417</v>
      </c>
      <c r="G27" s="122"/>
      <c r="H27" s="122"/>
      <c r="I27" s="122"/>
      <c r="J27" s="122">
        <f t="shared" si="3"/>
        <v>66.154417</v>
      </c>
      <c r="K27" s="122" t="s">
        <v>29</v>
      </c>
      <c r="L27" s="130">
        <f>L21</f>
        <v>15031.5</v>
      </c>
      <c r="M27" s="122">
        <f t="shared" si="0"/>
        <v>44.0105225692712</v>
      </c>
      <c r="N27" s="122"/>
      <c r="O27" s="89">
        <f>64.3+23.85+22.37</f>
        <v>110.52</v>
      </c>
      <c r="P27" s="88">
        <f t="shared" si="1"/>
        <v>-40.142583242852</v>
      </c>
    </row>
    <row r="28" s="89" customFormat="true" ht="35" customHeight="true" spans="1:16">
      <c r="A28" s="106"/>
      <c r="B28" s="107">
        <v>2.9</v>
      </c>
      <c r="C28" s="108"/>
      <c r="D28" s="108"/>
      <c r="E28" s="121" t="s">
        <v>53</v>
      </c>
      <c r="F28" s="122">
        <v>116.299015</v>
      </c>
      <c r="G28" s="122"/>
      <c r="H28" s="122"/>
      <c r="I28" s="122"/>
      <c r="J28" s="122">
        <f t="shared" si="3"/>
        <v>116.299015</v>
      </c>
      <c r="K28" s="122" t="s">
        <v>29</v>
      </c>
      <c r="L28" s="130">
        <f t="shared" si="4"/>
        <v>15031.5</v>
      </c>
      <c r="M28" s="122">
        <f t="shared" si="0"/>
        <v>77.3701992482454</v>
      </c>
      <c r="N28" s="122"/>
      <c r="O28" s="89">
        <v>71.7</v>
      </c>
      <c r="P28" s="88">
        <f t="shared" si="1"/>
        <v>62.2022524407252</v>
      </c>
    </row>
    <row r="29" s="89" customFormat="true" ht="35" customHeight="true" spans="1:16">
      <c r="A29" s="106"/>
      <c r="B29" s="109">
        <v>2.1</v>
      </c>
      <c r="C29" s="108"/>
      <c r="D29" s="108"/>
      <c r="E29" s="121" t="s">
        <v>54</v>
      </c>
      <c r="F29" s="122">
        <v>81.33284</v>
      </c>
      <c r="G29" s="122"/>
      <c r="H29" s="122"/>
      <c r="I29" s="122"/>
      <c r="J29" s="122">
        <f t="shared" si="3"/>
        <v>81.33284</v>
      </c>
      <c r="K29" s="122" t="s">
        <v>29</v>
      </c>
      <c r="L29" s="130">
        <f t="shared" si="4"/>
        <v>15031.5</v>
      </c>
      <c r="M29" s="122">
        <f t="shared" si="0"/>
        <v>54.1082659747863</v>
      </c>
      <c r="N29" s="122"/>
      <c r="O29" s="89">
        <v>50.35</v>
      </c>
      <c r="P29" s="88">
        <f t="shared" si="1"/>
        <v>61.5349354518371</v>
      </c>
    </row>
    <row r="30" s="90" customFormat="true" ht="35" customHeight="true" spans="1:20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34" t="s">
        <v>55</v>
      </c>
      <c r="P30" s="134" t="s">
        <v>56</v>
      </c>
      <c r="Q30" s="134" t="s">
        <v>57</v>
      </c>
      <c r="R30" s="134" t="s">
        <v>58</v>
      </c>
      <c r="S30" s="134" t="s">
        <v>59</v>
      </c>
      <c r="T30" s="134" t="s">
        <v>60</v>
      </c>
    </row>
    <row r="31" s="88" customFormat="true" ht="35" customHeight="true" spans="1:20">
      <c r="A31" s="103"/>
      <c r="B31" s="104"/>
      <c r="C31" s="105"/>
      <c r="D31" s="105"/>
      <c r="E31" s="119" t="s">
        <v>61</v>
      </c>
      <c r="F31" s="118">
        <f>J6</f>
        <v>6247.264896</v>
      </c>
      <c r="G31" s="118"/>
      <c r="H31" s="118"/>
      <c r="I31" s="118"/>
      <c r="J31" s="118"/>
      <c r="K31" s="123"/>
      <c r="L31" s="123"/>
      <c r="M31" s="123"/>
      <c r="N31" s="135"/>
      <c r="O31" s="133">
        <f>Q31+R31</f>
        <v>9198.572353</v>
      </c>
      <c r="P31" s="133">
        <f>(15269.46-4096.98)</f>
        <v>11172.48</v>
      </c>
      <c r="Q31" s="140">
        <v>2951.307457</v>
      </c>
      <c r="R31" s="133">
        <f>F31</f>
        <v>6247.264896</v>
      </c>
      <c r="S31" s="141">
        <f>Q31/O31</f>
        <v>0.320844077074359</v>
      </c>
      <c r="T31" s="141">
        <f>R31/O31</f>
        <v>0.679155922925641</v>
      </c>
    </row>
    <row r="32" s="88" customFormat="true" ht="35" customHeight="true" spans="1:18">
      <c r="A32" s="103"/>
      <c r="B32" s="104"/>
      <c r="C32" s="105"/>
      <c r="D32" s="105"/>
      <c r="E32" s="119" t="s">
        <v>62</v>
      </c>
      <c r="F32" s="118"/>
      <c r="G32" s="118"/>
      <c r="H32" s="118"/>
      <c r="I32" s="118">
        <f>ROUND(SUM(I33:I76),2)</f>
        <v>25493.67</v>
      </c>
      <c r="J32" s="118">
        <f>J33+J45+J46+J47+J50+J51+J54+J55+J56+J57+J62+J63+J64+J68+J69+J70+J71+J72+J73+J74+J75+J76</f>
        <v>25493.6708847791</v>
      </c>
      <c r="K32" s="131"/>
      <c r="L32" s="132"/>
      <c r="M32" s="132"/>
      <c r="N32" s="136"/>
      <c r="O32" s="133"/>
      <c r="P32" s="133"/>
      <c r="Q32" s="133"/>
      <c r="R32" s="133">
        <f>J32/J83*100</f>
        <v>78.979264063422</v>
      </c>
    </row>
    <row r="33" s="90" customFormat="true" ht="35" customHeight="true" spans="1:18">
      <c r="A33" s="112"/>
      <c r="B33" s="113">
        <v>1</v>
      </c>
      <c r="C33" s="114"/>
      <c r="D33" s="114"/>
      <c r="E33" s="119" t="s">
        <v>63</v>
      </c>
      <c r="F33" s="123"/>
      <c r="G33" s="123"/>
      <c r="H33" s="123"/>
      <c r="I33" s="123"/>
      <c r="J33" s="123">
        <f>J34+J35+J44</f>
        <v>24504.51</v>
      </c>
      <c r="K33" s="131"/>
      <c r="L33" s="132"/>
      <c r="M33" s="132"/>
      <c r="N33" s="136"/>
      <c r="O33" s="134"/>
      <c r="P33" s="133"/>
      <c r="Q33" s="134"/>
      <c r="R33" s="134"/>
    </row>
    <row r="34" s="90" customFormat="true" ht="35" customHeight="true" spans="1:16">
      <c r="A34" s="112"/>
      <c r="B34" s="113"/>
      <c r="C34" s="114">
        <v>1</v>
      </c>
      <c r="D34" s="114"/>
      <c r="E34" s="124" t="s">
        <v>64</v>
      </c>
      <c r="F34" s="123"/>
      <c r="G34" s="123"/>
      <c r="H34" s="123"/>
      <c r="I34" s="123">
        <v>23932.1</v>
      </c>
      <c r="J34" s="123">
        <f>I34</f>
        <v>23932.1</v>
      </c>
      <c r="K34" s="131" t="s">
        <v>65</v>
      </c>
      <c r="L34" s="132"/>
      <c r="M34" s="132"/>
      <c r="N34" s="136"/>
      <c r="P34" s="137"/>
    </row>
    <row r="35" s="91" customFormat="true" ht="35" customHeight="true" spans="1:14">
      <c r="A35" s="115"/>
      <c r="B35" s="116"/>
      <c r="C35" s="117">
        <v>2</v>
      </c>
      <c r="D35" s="117"/>
      <c r="E35" s="125" t="s">
        <v>66</v>
      </c>
      <c r="F35" s="126"/>
      <c r="G35" s="126"/>
      <c r="H35" s="126"/>
      <c r="I35" s="123"/>
      <c r="J35" s="126">
        <f>SUM(I36:I43)</f>
        <v>422.41</v>
      </c>
      <c r="K35" s="131" t="s">
        <v>67</v>
      </c>
      <c r="L35" s="132"/>
      <c r="M35" s="132"/>
      <c r="N35" s="136"/>
    </row>
    <row r="36" s="91" customFormat="true" ht="35" customHeight="true" spans="1:16">
      <c r="A36" s="115"/>
      <c r="B36" s="116"/>
      <c r="C36" s="117"/>
      <c r="D36" s="117">
        <v>1</v>
      </c>
      <c r="E36" s="125" t="s">
        <v>68</v>
      </c>
      <c r="F36" s="126"/>
      <c r="G36" s="126"/>
      <c r="H36" s="126"/>
      <c r="I36" s="123">
        <v>171.91</v>
      </c>
      <c r="J36" s="126"/>
      <c r="K36" s="131" t="s">
        <v>69</v>
      </c>
      <c r="L36" s="132"/>
      <c r="M36" s="132"/>
      <c r="N36" s="136"/>
      <c r="P36" s="138"/>
    </row>
    <row r="37" s="91" customFormat="true" ht="35" customHeight="true" spans="1:16">
      <c r="A37" s="115"/>
      <c r="B37" s="116"/>
      <c r="C37" s="117"/>
      <c r="D37" s="117">
        <v>2</v>
      </c>
      <c r="E37" s="125" t="s">
        <v>70</v>
      </c>
      <c r="F37" s="126"/>
      <c r="G37" s="126"/>
      <c r="H37" s="126"/>
      <c r="I37" s="123">
        <v>89</v>
      </c>
      <c r="J37" s="126"/>
      <c r="K37" s="131" t="s">
        <v>69</v>
      </c>
      <c r="L37" s="132"/>
      <c r="M37" s="132"/>
      <c r="N37" s="136"/>
      <c r="P37" s="138"/>
    </row>
    <row r="38" s="91" customFormat="true" ht="35" customHeight="true" spans="1:16">
      <c r="A38" s="115"/>
      <c r="B38" s="116"/>
      <c r="C38" s="117"/>
      <c r="D38" s="117">
        <v>3</v>
      </c>
      <c r="E38" s="125" t="s">
        <v>71</v>
      </c>
      <c r="F38" s="126"/>
      <c r="G38" s="126"/>
      <c r="H38" s="126"/>
      <c r="I38" s="123">
        <v>20</v>
      </c>
      <c r="J38" s="126"/>
      <c r="K38" s="131" t="s">
        <v>69</v>
      </c>
      <c r="L38" s="132"/>
      <c r="M38" s="132"/>
      <c r="N38" s="136"/>
      <c r="P38" s="138"/>
    </row>
    <row r="39" s="91" customFormat="true" ht="35" customHeight="true" spans="1:16">
      <c r="A39" s="115"/>
      <c r="B39" s="116"/>
      <c r="C39" s="117"/>
      <c r="D39" s="117">
        <v>4</v>
      </c>
      <c r="E39" s="125" t="s">
        <v>72</v>
      </c>
      <c r="F39" s="126"/>
      <c r="G39" s="126"/>
      <c r="H39" s="126"/>
      <c r="I39" s="123">
        <v>70</v>
      </c>
      <c r="J39" s="126"/>
      <c r="K39" s="131" t="s">
        <v>73</v>
      </c>
      <c r="L39" s="132"/>
      <c r="M39" s="132"/>
      <c r="N39" s="136"/>
      <c r="P39" s="138"/>
    </row>
    <row r="40" s="91" customFormat="true" ht="35" customHeight="true" spans="1:16">
      <c r="A40" s="115"/>
      <c r="B40" s="116"/>
      <c r="C40" s="117"/>
      <c r="D40" s="117">
        <v>5</v>
      </c>
      <c r="E40" s="125" t="s">
        <v>74</v>
      </c>
      <c r="F40" s="126"/>
      <c r="G40" s="126"/>
      <c r="H40" s="126"/>
      <c r="I40" s="123">
        <v>70</v>
      </c>
      <c r="J40" s="126"/>
      <c r="K40" s="131" t="s">
        <v>73</v>
      </c>
      <c r="L40" s="132"/>
      <c r="M40" s="132"/>
      <c r="N40" s="136"/>
      <c r="P40" s="138"/>
    </row>
    <row r="41" s="91" customFormat="true" ht="35" customHeight="true" spans="1:16">
      <c r="A41" s="115"/>
      <c r="B41" s="116"/>
      <c r="C41" s="117"/>
      <c r="D41" s="117">
        <v>6</v>
      </c>
      <c r="E41" s="125" t="s">
        <v>75</v>
      </c>
      <c r="F41" s="126"/>
      <c r="G41" s="126"/>
      <c r="H41" s="126"/>
      <c r="I41" s="123">
        <f t="shared" ref="I41:I43" si="5">1*5000/10000</f>
        <v>0.5</v>
      </c>
      <c r="J41" s="126"/>
      <c r="K41" s="131" t="s">
        <v>76</v>
      </c>
      <c r="L41" s="132"/>
      <c r="M41" s="132"/>
      <c r="N41" s="136"/>
      <c r="P41" s="138"/>
    </row>
    <row r="42" s="91" customFormat="true" ht="35" customHeight="true" spans="1:16">
      <c r="A42" s="115"/>
      <c r="B42" s="116"/>
      <c r="C42" s="117"/>
      <c r="D42" s="117">
        <v>7</v>
      </c>
      <c r="E42" s="125" t="s">
        <v>77</v>
      </c>
      <c r="F42" s="126"/>
      <c r="G42" s="126"/>
      <c r="H42" s="126"/>
      <c r="I42" s="123">
        <f t="shared" si="5"/>
        <v>0.5</v>
      </c>
      <c r="J42" s="126"/>
      <c r="K42" s="131" t="s">
        <v>76</v>
      </c>
      <c r="L42" s="132"/>
      <c r="M42" s="132"/>
      <c r="N42" s="136"/>
      <c r="P42" s="138"/>
    </row>
    <row r="43" s="91" customFormat="true" ht="35" customHeight="true" spans="1:16">
      <c r="A43" s="115"/>
      <c r="B43" s="116"/>
      <c r="C43" s="117"/>
      <c r="D43" s="117">
        <v>8</v>
      </c>
      <c r="E43" s="125" t="s">
        <v>78</v>
      </c>
      <c r="F43" s="126"/>
      <c r="G43" s="126"/>
      <c r="H43" s="126"/>
      <c r="I43" s="123">
        <f t="shared" si="5"/>
        <v>0.5</v>
      </c>
      <c r="J43" s="126"/>
      <c r="K43" s="131" t="s">
        <v>76</v>
      </c>
      <c r="L43" s="132"/>
      <c r="M43" s="132"/>
      <c r="N43" s="136"/>
      <c r="P43" s="138"/>
    </row>
    <row r="44" s="90" customFormat="true" ht="35" customHeight="true" spans="1:14">
      <c r="A44" s="112"/>
      <c r="B44" s="113"/>
      <c r="C44" s="114">
        <v>3</v>
      </c>
      <c r="D44" s="114"/>
      <c r="E44" s="124" t="s">
        <v>79</v>
      </c>
      <c r="F44" s="123"/>
      <c r="G44" s="123"/>
      <c r="H44" s="123"/>
      <c r="I44" s="123">
        <f>30*5</f>
        <v>150</v>
      </c>
      <c r="J44" s="123">
        <f>I44</f>
        <v>150</v>
      </c>
      <c r="K44" s="131" t="s">
        <v>80</v>
      </c>
      <c r="L44" s="132"/>
      <c r="M44" s="132"/>
      <c r="N44" s="136"/>
    </row>
    <row r="45" s="88" customFormat="true" ht="35" customHeight="true" spans="1:14">
      <c r="A45" s="103"/>
      <c r="B45" s="113">
        <v>2</v>
      </c>
      <c r="C45" s="105"/>
      <c r="D45" s="105"/>
      <c r="E45" s="124" t="s">
        <v>81</v>
      </c>
      <c r="F45" s="118"/>
      <c r="G45" s="118"/>
      <c r="H45" s="118"/>
      <c r="I45" s="123">
        <f>(140+(P31-10000)*1%)</f>
        <v>151.7248</v>
      </c>
      <c r="J45" s="123">
        <f t="shared" ref="J45:J46" si="6">I45</f>
        <v>151.7248</v>
      </c>
      <c r="K45" s="131" t="s">
        <v>82</v>
      </c>
      <c r="L45" s="132"/>
      <c r="M45" s="132"/>
      <c r="N45" s="136"/>
    </row>
    <row r="46" s="90" customFormat="true" ht="35" customHeight="true" spans="1:14">
      <c r="A46" s="112"/>
      <c r="B46" s="113">
        <v>3</v>
      </c>
      <c r="C46" s="114"/>
      <c r="D46" s="114"/>
      <c r="E46" s="124" t="s">
        <v>83</v>
      </c>
      <c r="F46" s="123"/>
      <c r="G46" s="123"/>
      <c r="H46" s="123"/>
      <c r="I46" s="123">
        <f>(181+(O31-8000)/2000*(218.6-181))*0.8</f>
        <v>162.82652818912</v>
      </c>
      <c r="J46" s="123">
        <f t="shared" si="6"/>
        <v>162.82652818912</v>
      </c>
      <c r="K46" s="131" t="s">
        <v>84</v>
      </c>
      <c r="L46" s="132"/>
      <c r="M46" s="132"/>
      <c r="N46" s="136"/>
    </row>
    <row r="47" s="90" customFormat="true" ht="35" customHeight="true" spans="1:14">
      <c r="A47" s="112"/>
      <c r="B47" s="113">
        <v>4</v>
      </c>
      <c r="C47" s="114"/>
      <c r="D47" s="114"/>
      <c r="E47" s="124" t="s">
        <v>85</v>
      </c>
      <c r="F47" s="123"/>
      <c r="G47" s="123"/>
      <c r="H47" s="123"/>
      <c r="I47" s="123"/>
      <c r="J47" s="123">
        <f>SUM(I48:I49)</f>
        <v>18</v>
      </c>
      <c r="K47" s="131"/>
      <c r="L47" s="132"/>
      <c r="M47" s="132"/>
      <c r="N47" s="136"/>
    </row>
    <row r="48" s="90" customFormat="true" ht="35" customHeight="true" spans="1:14">
      <c r="A48" s="112"/>
      <c r="B48" s="113"/>
      <c r="C48" s="114">
        <v>1</v>
      </c>
      <c r="D48" s="114"/>
      <c r="E48" s="124" t="s">
        <v>86</v>
      </c>
      <c r="F48" s="123"/>
      <c r="G48" s="123"/>
      <c r="H48" s="123"/>
      <c r="I48" s="123">
        <v>18</v>
      </c>
      <c r="J48" s="123"/>
      <c r="K48" s="131" t="s">
        <v>87</v>
      </c>
      <c r="L48" s="132"/>
      <c r="M48" s="132"/>
      <c r="N48" s="136"/>
    </row>
    <row r="49" s="90" customFormat="true" ht="35" customHeight="true" spans="1:14">
      <c r="A49" s="112"/>
      <c r="B49" s="113"/>
      <c r="C49" s="114">
        <v>2</v>
      </c>
      <c r="D49" s="114"/>
      <c r="E49" s="124" t="s">
        <v>88</v>
      </c>
      <c r="F49" s="123"/>
      <c r="G49" s="123"/>
      <c r="H49" s="123"/>
      <c r="I49" s="123">
        <f>(8+4.68)*0.5*0</f>
        <v>0</v>
      </c>
      <c r="J49" s="123"/>
      <c r="K49" s="131" t="s">
        <v>89</v>
      </c>
      <c r="L49" s="132"/>
      <c r="M49" s="132"/>
      <c r="N49" s="136"/>
    </row>
    <row r="50" s="90" customFormat="true" ht="35" customHeight="true" spans="1:16">
      <c r="A50" s="112"/>
      <c r="B50" s="113">
        <v>5</v>
      </c>
      <c r="C50" s="114"/>
      <c r="D50" s="114"/>
      <c r="E50" s="124" t="s">
        <v>90</v>
      </c>
      <c r="F50" s="123"/>
      <c r="G50" s="123"/>
      <c r="H50" s="123"/>
      <c r="I50" s="123">
        <f>180.6</f>
        <v>180.6</v>
      </c>
      <c r="J50" s="123">
        <f>I50</f>
        <v>180.6</v>
      </c>
      <c r="K50" s="131" t="s">
        <v>87</v>
      </c>
      <c r="L50" s="132"/>
      <c r="M50" s="132"/>
      <c r="N50" s="136"/>
      <c r="P50" s="137"/>
    </row>
    <row r="51" s="90" customFormat="true" ht="35" customHeight="true" spans="1:14">
      <c r="A51" s="112"/>
      <c r="B51" s="113">
        <v>6</v>
      </c>
      <c r="C51" s="114"/>
      <c r="D51" s="114"/>
      <c r="E51" s="124" t="s">
        <v>91</v>
      </c>
      <c r="F51" s="123"/>
      <c r="G51" s="123"/>
      <c r="H51" s="123"/>
      <c r="I51" s="123"/>
      <c r="J51" s="123">
        <f>SUM(I52:I53)</f>
        <v>26.5343082</v>
      </c>
      <c r="K51" s="131"/>
      <c r="L51" s="132"/>
      <c r="M51" s="132"/>
      <c r="N51" s="136"/>
    </row>
    <row r="52" s="90" customFormat="true" ht="35" customHeight="true" spans="1:14">
      <c r="A52" s="112"/>
      <c r="B52" s="113"/>
      <c r="C52" s="114">
        <v>1</v>
      </c>
      <c r="D52" s="114"/>
      <c r="E52" s="124" t="s">
        <v>92</v>
      </c>
      <c r="F52" s="123"/>
      <c r="G52" s="123"/>
      <c r="H52" s="123"/>
      <c r="I52" s="123">
        <f>(4.018648+((L6+20516.2)-5842.09)*1/10000+2.3)</f>
        <v>11.9043082</v>
      </c>
      <c r="J52" s="123"/>
      <c r="K52" s="131" t="s">
        <v>93</v>
      </c>
      <c r="L52" s="132"/>
      <c r="M52" s="132"/>
      <c r="N52" s="136"/>
    </row>
    <row r="53" s="90" customFormat="true" ht="35" customHeight="true" spans="1:14">
      <c r="A53" s="112"/>
      <c r="B53" s="113"/>
      <c r="C53" s="114">
        <v>2</v>
      </c>
      <c r="D53" s="114"/>
      <c r="E53" s="124" t="s">
        <v>94</v>
      </c>
      <c r="F53" s="123"/>
      <c r="G53" s="123"/>
      <c r="H53" s="123"/>
      <c r="I53" s="123">
        <f>14.63</f>
        <v>14.63</v>
      </c>
      <c r="J53" s="123"/>
      <c r="K53" s="131" t="s">
        <v>87</v>
      </c>
      <c r="L53" s="132"/>
      <c r="M53" s="132"/>
      <c r="N53" s="136"/>
    </row>
    <row r="54" s="90" customFormat="true" ht="35" customHeight="true" spans="1:14">
      <c r="A54" s="112"/>
      <c r="B54" s="113">
        <v>7</v>
      </c>
      <c r="C54" s="114"/>
      <c r="D54" s="114"/>
      <c r="E54" s="124" t="s">
        <v>95</v>
      </c>
      <c r="F54" s="123"/>
      <c r="G54" s="123"/>
      <c r="H54" s="123"/>
      <c r="I54" s="123">
        <f>O31*0.5%</f>
        <v>45.992861765</v>
      </c>
      <c r="J54" s="123">
        <f>I54</f>
        <v>45.992861765</v>
      </c>
      <c r="K54" s="131" t="s">
        <v>96</v>
      </c>
      <c r="L54" s="132"/>
      <c r="M54" s="132"/>
      <c r="N54" s="136"/>
    </row>
    <row r="55" s="90" customFormat="true" ht="35" customHeight="true" spans="1:14">
      <c r="A55" s="112"/>
      <c r="B55" s="113">
        <v>8</v>
      </c>
      <c r="C55" s="114"/>
      <c r="D55" s="114"/>
      <c r="E55" s="124" t="s">
        <v>97</v>
      </c>
      <c r="F55" s="123"/>
      <c r="G55" s="123"/>
      <c r="H55" s="123"/>
      <c r="I55" s="123">
        <f>O31*0.3%</f>
        <v>27.595717059</v>
      </c>
      <c r="J55" s="123">
        <f>I55</f>
        <v>27.595717059</v>
      </c>
      <c r="K55" s="131" t="s">
        <v>98</v>
      </c>
      <c r="L55" s="132"/>
      <c r="M55" s="132"/>
      <c r="N55" s="136"/>
    </row>
    <row r="56" s="90" customFormat="true" ht="35" customHeight="true" spans="1:14">
      <c r="A56" s="112"/>
      <c r="B56" s="113">
        <v>9</v>
      </c>
      <c r="C56" s="114"/>
      <c r="D56" s="114"/>
      <c r="E56" s="124" t="s">
        <v>99</v>
      </c>
      <c r="F56" s="123"/>
      <c r="G56" s="123"/>
      <c r="H56" s="123"/>
      <c r="I56" s="123">
        <f>18</f>
        <v>18</v>
      </c>
      <c r="J56" s="123">
        <f>I56</f>
        <v>18</v>
      </c>
      <c r="K56" s="131" t="s">
        <v>87</v>
      </c>
      <c r="L56" s="132"/>
      <c r="M56" s="132"/>
      <c r="N56" s="136"/>
    </row>
    <row r="57" s="90" customFormat="true" ht="35" customHeight="true" spans="1:14">
      <c r="A57" s="112"/>
      <c r="B57" s="113">
        <v>10</v>
      </c>
      <c r="C57" s="114"/>
      <c r="D57" s="114"/>
      <c r="E57" s="124" t="s">
        <v>100</v>
      </c>
      <c r="F57" s="123"/>
      <c r="G57" s="123"/>
      <c r="H57" s="123"/>
      <c r="I57" s="123"/>
      <c r="J57" s="123">
        <f>SUM(I58:I61)</f>
        <v>26.4598055452104</v>
      </c>
      <c r="K57" s="131" t="s">
        <v>101</v>
      </c>
      <c r="L57" s="132"/>
      <c r="M57" s="132"/>
      <c r="N57" s="136"/>
    </row>
    <row r="58" s="90" customFormat="true" ht="35" customHeight="true" spans="1:14">
      <c r="A58" s="112"/>
      <c r="B58" s="113"/>
      <c r="C58" s="114">
        <v>1</v>
      </c>
      <c r="D58" s="114"/>
      <c r="E58" s="124" t="s">
        <v>102</v>
      </c>
      <c r="F58" s="123"/>
      <c r="G58" s="123"/>
      <c r="H58" s="123"/>
      <c r="I58" s="123">
        <f>(100*1%+(500-100)*0.7%+(1000-500)*0.55%+(5000-1000)*0.35%+(O31-5000)*0.2%)*0.8</f>
        <v>23.1577157648</v>
      </c>
      <c r="J58" s="123"/>
      <c r="K58" s="131" t="s">
        <v>103</v>
      </c>
      <c r="L58" s="132"/>
      <c r="M58" s="132"/>
      <c r="N58" s="136"/>
    </row>
    <row r="59" s="92" customFormat="true" ht="35" customHeight="true" spans="1:20">
      <c r="A59" s="112"/>
      <c r="B59" s="114"/>
      <c r="C59" s="114">
        <v>2</v>
      </c>
      <c r="D59" s="114"/>
      <c r="E59" s="124" t="s">
        <v>104</v>
      </c>
      <c r="F59" s="123"/>
      <c r="G59" s="123"/>
      <c r="H59" s="123"/>
      <c r="I59" s="123"/>
      <c r="J59" s="123"/>
      <c r="K59" s="131"/>
      <c r="L59" s="132"/>
      <c r="M59" s="132"/>
      <c r="N59" s="136"/>
      <c r="P59" s="139"/>
      <c r="Q59" s="139"/>
      <c r="R59" s="139"/>
      <c r="S59" s="139"/>
      <c r="T59" s="139"/>
    </row>
    <row r="60" s="92" customFormat="true" ht="35" customHeight="true" spans="1:20">
      <c r="A60" s="112"/>
      <c r="B60" s="114"/>
      <c r="C60" s="114"/>
      <c r="D60" s="114">
        <v>1</v>
      </c>
      <c r="E60" s="124" t="s">
        <v>105</v>
      </c>
      <c r="F60" s="123"/>
      <c r="G60" s="123"/>
      <c r="H60" s="123"/>
      <c r="I60" s="123">
        <f>1.7</f>
        <v>1.7</v>
      </c>
      <c r="J60" s="123"/>
      <c r="K60" s="131" t="s">
        <v>87</v>
      </c>
      <c r="L60" s="132"/>
      <c r="M60" s="132"/>
      <c r="N60" s="136"/>
      <c r="P60" s="139"/>
      <c r="Q60" s="139"/>
      <c r="R60" s="139"/>
      <c r="S60" s="139"/>
      <c r="T60" s="139"/>
    </row>
    <row r="61" s="92" customFormat="true" ht="35" customHeight="true" spans="1:20">
      <c r="A61" s="112"/>
      <c r="B61" s="114"/>
      <c r="C61" s="114"/>
      <c r="D61" s="114">
        <v>2</v>
      </c>
      <c r="E61" s="124" t="s">
        <v>106</v>
      </c>
      <c r="F61" s="123"/>
      <c r="G61" s="123"/>
      <c r="H61" s="123"/>
      <c r="I61" s="123">
        <f>(100*1.5/100+(((181+(O31-8000)/2000*(218.6-181))*0.8)-100)*0.8/100)*0.8</f>
        <v>1.60208978041037</v>
      </c>
      <c r="J61" s="123"/>
      <c r="K61" s="131" t="s">
        <v>107</v>
      </c>
      <c r="L61" s="132"/>
      <c r="M61" s="132"/>
      <c r="N61" s="136"/>
      <c r="P61" s="139"/>
      <c r="Q61" s="139"/>
      <c r="R61" s="139"/>
      <c r="S61" s="139"/>
      <c r="T61" s="139"/>
    </row>
    <row r="62" s="90" customFormat="true" ht="35" customHeight="true" spans="1:14">
      <c r="A62" s="112"/>
      <c r="B62" s="113">
        <v>11</v>
      </c>
      <c r="C62" s="114"/>
      <c r="D62" s="114"/>
      <c r="E62" s="124" t="s">
        <v>108</v>
      </c>
      <c r="F62" s="123"/>
      <c r="G62" s="123"/>
      <c r="H62" s="123"/>
      <c r="I62" s="123">
        <f>9.4</f>
        <v>9.4</v>
      </c>
      <c r="J62" s="123">
        <f>I62</f>
        <v>9.4</v>
      </c>
      <c r="K62" s="131" t="s">
        <v>87</v>
      </c>
      <c r="L62" s="132"/>
      <c r="M62" s="132"/>
      <c r="N62" s="136"/>
    </row>
    <row r="63" s="90" customFormat="true" ht="35" customHeight="true" spans="1:14">
      <c r="A63" s="112"/>
      <c r="B63" s="113">
        <v>12</v>
      </c>
      <c r="C63" s="114"/>
      <c r="D63" s="114"/>
      <c r="E63" s="124" t="s">
        <v>109</v>
      </c>
      <c r="F63" s="123"/>
      <c r="G63" s="123"/>
      <c r="H63" s="123"/>
      <c r="I63" s="123">
        <f>((500*4.9+500*4.4+4000*3.8)/1000+(O31-5000)*3.3/1000)*0.8</f>
        <v>26.96423101192</v>
      </c>
      <c r="J63" s="123">
        <f t="shared" ref="J63" si="7">I63</f>
        <v>26.96423101192</v>
      </c>
      <c r="K63" s="131" t="s">
        <v>110</v>
      </c>
      <c r="L63" s="132"/>
      <c r="M63" s="132"/>
      <c r="N63" s="136"/>
    </row>
    <row r="64" s="90" customFormat="true" ht="35" customHeight="true" spans="1:14">
      <c r="A64" s="112"/>
      <c r="B64" s="113">
        <v>13</v>
      </c>
      <c r="C64" s="114"/>
      <c r="D64" s="114"/>
      <c r="E64" s="124" t="s">
        <v>111</v>
      </c>
      <c r="F64" s="123"/>
      <c r="G64" s="123"/>
      <c r="H64" s="123"/>
      <c r="I64" s="123"/>
      <c r="J64" s="123">
        <f>SUM(I65:I67)</f>
        <v>60.48755192</v>
      </c>
      <c r="K64" s="131"/>
      <c r="L64" s="132"/>
      <c r="M64" s="132"/>
      <c r="N64" s="136"/>
    </row>
    <row r="65" s="90" customFormat="true" ht="35" customHeight="true" spans="1:20">
      <c r="A65" s="112"/>
      <c r="B65" s="113"/>
      <c r="C65" s="114">
        <v>1</v>
      </c>
      <c r="D65" s="114"/>
      <c r="E65" s="124" t="s">
        <v>112</v>
      </c>
      <c r="F65" s="123"/>
      <c r="G65" s="123"/>
      <c r="H65" s="123"/>
      <c r="I65" s="123">
        <f>38</f>
        <v>38</v>
      </c>
      <c r="J65" s="123"/>
      <c r="K65" s="131" t="s">
        <v>87</v>
      </c>
      <c r="L65" s="132"/>
      <c r="M65" s="132"/>
      <c r="N65" s="136"/>
      <c r="O65" s="134"/>
      <c r="P65" s="134"/>
      <c r="Q65" s="134"/>
      <c r="R65" s="134"/>
      <c r="S65" s="134"/>
      <c r="T65" s="134"/>
    </row>
    <row r="66" s="90" customFormat="true" ht="35" customHeight="true" spans="1:20">
      <c r="A66" s="112"/>
      <c r="B66" s="113"/>
      <c r="C66" s="114">
        <v>2</v>
      </c>
      <c r="D66" s="114"/>
      <c r="E66" s="124" t="s">
        <v>113</v>
      </c>
      <c r="F66" s="123"/>
      <c r="G66" s="123"/>
      <c r="H66" s="123"/>
      <c r="I66" s="123">
        <f>(18+(P31-10000)/(20000-10000)*(30-18))*0.5</f>
        <v>9.703488</v>
      </c>
      <c r="J66" s="123"/>
      <c r="K66" s="131" t="s">
        <v>114</v>
      </c>
      <c r="L66" s="132"/>
      <c r="M66" s="132"/>
      <c r="N66" s="136"/>
      <c r="O66" s="134"/>
      <c r="P66" s="134"/>
      <c r="Q66" s="134"/>
      <c r="R66" s="134"/>
      <c r="S66" s="134"/>
      <c r="T66" s="134"/>
    </row>
    <row r="67" s="90" customFormat="true" ht="35" customHeight="true" spans="1:20">
      <c r="A67" s="112"/>
      <c r="B67" s="113"/>
      <c r="C67" s="114">
        <v>3</v>
      </c>
      <c r="D67" s="114"/>
      <c r="E67" s="124" t="s">
        <v>115</v>
      </c>
      <c r="F67" s="123"/>
      <c r="G67" s="123"/>
      <c r="H67" s="123"/>
      <c r="I67" s="123">
        <f>((52.5+31.7)+(16.04+27.6))*666.67*1.5/10000</f>
        <v>12.78406392</v>
      </c>
      <c r="J67" s="123"/>
      <c r="K67" s="131" t="s">
        <v>116</v>
      </c>
      <c r="L67" s="132"/>
      <c r="M67" s="132"/>
      <c r="N67" s="136"/>
      <c r="O67" s="134">
        <f>(52.5+31.7+16.04+27.6)*666.67</f>
        <v>85227.0928</v>
      </c>
      <c r="P67" s="134">
        <f>(13926.7+6589.49+审定概算汇总表!I7)</f>
        <v>82214.876</v>
      </c>
      <c r="Q67" s="134">
        <f>P67-2109.61</f>
        <v>80105.266</v>
      </c>
      <c r="R67" s="134"/>
      <c r="S67" s="134"/>
      <c r="T67" s="134"/>
    </row>
    <row r="68" s="90" customFormat="true" ht="35" customHeight="true" spans="1:18">
      <c r="A68" s="112"/>
      <c r="B68" s="113">
        <v>14</v>
      </c>
      <c r="C68" s="114"/>
      <c r="D68" s="114"/>
      <c r="E68" s="124" t="s">
        <v>117</v>
      </c>
      <c r="F68" s="123"/>
      <c r="G68" s="123"/>
      <c r="H68" s="123"/>
      <c r="I68" s="123">
        <f>7</f>
        <v>7</v>
      </c>
      <c r="J68" s="123">
        <f t="shared" ref="J68:J70" si="8">I68</f>
        <v>7</v>
      </c>
      <c r="K68" s="131" t="s">
        <v>87</v>
      </c>
      <c r="L68" s="132"/>
      <c r="M68" s="132"/>
      <c r="N68" s="136"/>
      <c r="Q68" s="90">
        <v>57603</v>
      </c>
      <c r="R68" s="90">
        <f>Q68+2109.61</f>
        <v>59712.61</v>
      </c>
    </row>
    <row r="69" s="90" customFormat="true" ht="35" customHeight="true" spans="1:17">
      <c r="A69" s="112"/>
      <c r="B69" s="113">
        <v>15</v>
      </c>
      <c r="C69" s="114"/>
      <c r="D69" s="114"/>
      <c r="E69" s="124" t="s">
        <v>118</v>
      </c>
      <c r="F69" s="123"/>
      <c r="G69" s="123"/>
      <c r="H69" s="123"/>
      <c r="I69" s="123">
        <f>40</f>
        <v>40</v>
      </c>
      <c r="J69" s="123">
        <f t="shared" si="8"/>
        <v>40</v>
      </c>
      <c r="K69" s="131" t="s">
        <v>87</v>
      </c>
      <c r="L69" s="132"/>
      <c r="M69" s="132"/>
      <c r="N69" s="136"/>
      <c r="Q69" s="90">
        <f>Q67-Q68</f>
        <v>22502.266</v>
      </c>
    </row>
    <row r="70" s="90" customFormat="true" ht="35" customHeight="true" spans="1:14">
      <c r="A70" s="112"/>
      <c r="B70" s="113">
        <v>16</v>
      </c>
      <c r="C70" s="114"/>
      <c r="D70" s="114"/>
      <c r="E70" s="124" t="s">
        <v>119</v>
      </c>
      <c r="F70" s="123"/>
      <c r="G70" s="123"/>
      <c r="H70" s="123"/>
      <c r="I70" s="123">
        <f>O31*0.7%</f>
        <v>64.390006471</v>
      </c>
      <c r="J70" s="123">
        <f t="shared" si="8"/>
        <v>64.390006471</v>
      </c>
      <c r="K70" s="131" t="s">
        <v>120</v>
      </c>
      <c r="L70" s="132"/>
      <c r="M70" s="132"/>
      <c r="N70" s="136"/>
    </row>
    <row r="71" s="90" customFormat="true" ht="35" customHeight="true" spans="1:14">
      <c r="A71" s="112"/>
      <c r="B71" s="113">
        <v>17</v>
      </c>
      <c r="C71" s="114"/>
      <c r="D71" s="114"/>
      <c r="E71" s="124" t="s">
        <v>121</v>
      </c>
      <c r="F71" s="123"/>
      <c r="G71" s="123"/>
      <c r="H71" s="123"/>
      <c r="I71" s="123">
        <f>50</f>
        <v>50</v>
      </c>
      <c r="J71" s="123">
        <f t="shared" ref="J71:J75" si="9">I71</f>
        <v>50</v>
      </c>
      <c r="K71" s="131" t="s">
        <v>122</v>
      </c>
      <c r="L71" s="132"/>
      <c r="M71" s="132"/>
      <c r="N71" s="136"/>
    </row>
    <row r="72" s="90" customFormat="true" ht="35" customHeight="true" spans="1:14">
      <c r="A72" s="112"/>
      <c r="B72" s="113">
        <v>18</v>
      </c>
      <c r="C72" s="114"/>
      <c r="D72" s="114"/>
      <c r="E72" s="124" t="s">
        <v>123</v>
      </c>
      <c r="F72" s="123"/>
      <c r="G72" s="123"/>
      <c r="H72" s="123"/>
      <c r="I72" s="123">
        <f>2</f>
        <v>2</v>
      </c>
      <c r="J72" s="123">
        <f t="shared" ref="J72" si="10">I72</f>
        <v>2</v>
      </c>
      <c r="K72" s="131" t="s">
        <v>124</v>
      </c>
      <c r="L72" s="132"/>
      <c r="M72" s="132"/>
      <c r="N72" s="136"/>
    </row>
    <row r="73" s="90" customFormat="true" ht="35" customHeight="true" spans="1:14">
      <c r="A73" s="112"/>
      <c r="B73" s="113">
        <v>19</v>
      </c>
      <c r="C73" s="114"/>
      <c r="D73" s="114"/>
      <c r="E73" s="124" t="s">
        <v>125</v>
      </c>
      <c r="F73" s="123"/>
      <c r="G73" s="123"/>
      <c r="H73" s="123"/>
      <c r="I73" s="123">
        <v>3</v>
      </c>
      <c r="J73" s="123">
        <f t="shared" si="9"/>
        <v>3</v>
      </c>
      <c r="K73" s="131" t="s">
        <v>73</v>
      </c>
      <c r="L73" s="132"/>
      <c r="M73" s="132"/>
      <c r="N73" s="136"/>
    </row>
    <row r="74" s="90" customFormat="true" ht="35" customHeight="true" spans="1:14">
      <c r="A74" s="112"/>
      <c r="B74" s="113">
        <v>20</v>
      </c>
      <c r="C74" s="114"/>
      <c r="D74" s="114"/>
      <c r="E74" s="124" t="s">
        <v>126</v>
      </c>
      <c r="F74" s="123"/>
      <c r="G74" s="123"/>
      <c r="H74" s="123"/>
      <c r="I74" s="123">
        <v>15</v>
      </c>
      <c r="J74" s="123">
        <f t="shared" si="9"/>
        <v>15</v>
      </c>
      <c r="K74" s="131" t="s">
        <v>127</v>
      </c>
      <c r="L74" s="132"/>
      <c r="M74" s="132"/>
      <c r="N74" s="136"/>
    </row>
    <row r="75" s="90" customFormat="true" ht="35" customHeight="true" spans="1:14">
      <c r="A75" s="142"/>
      <c r="B75" s="113">
        <v>21</v>
      </c>
      <c r="C75" s="114"/>
      <c r="D75" s="114"/>
      <c r="E75" s="124" t="s">
        <v>128</v>
      </c>
      <c r="F75" s="123"/>
      <c r="G75" s="123"/>
      <c r="H75" s="123"/>
      <c r="I75" s="123">
        <f>18</f>
        <v>18</v>
      </c>
      <c r="J75" s="123">
        <f t="shared" si="9"/>
        <v>18</v>
      </c>
      <c r="K75" s="131" t="s">
        <v>87</v>
      </c>
      <c r="L75" s="132"/>
      <c r="M75" s="132"/>
      <c r="N75" s="136"/>
    </row>
    <row r="76" s="90" customFormat="true" ht="35" customHeight="true" spans="1:14">
      <c r="A76" s="112"/>
      <c r="B76" s="113">
        <v>22</v>
      </c>
      <c r="C76" s="114"/>
      <c r="D76" s="114"/>
      <c r="E76" s="124" t="s">
        <v>129</v>
      </c>
      <c r="F76" s="123"/>
      <c r="G76" s="123"/>
      <c r="H76" s="123"/>
      <c r="I76" s="123">
        <f>(1000*10%+(O31-1000)*5%)*2*3.45%</f>
        <v>35.18507461785</v>
      </c>
      <c r="J76" s="123">
        <f t="shared" ref="J76" si="11">I76</f>
        <v>35.18507461785</v>
      </c>
      <c r="K76" s="131" t="s">
        <v>130</v>
      </c>
      <c r="L76" s="132"/>
      <c r="M76" s="132"/>
      <c r="N76" s="136"/>
    </row>
    <row r="77" s="90" customFormat="true" ht="35" customHeight="true" spans="1:14">
      <c r="A77" s="143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</row>
    <row r="78" s="90" customFormat="true" ht="35" customHeight="true" spans="1:14">
      <c r="A78" s="110"/>
      <c r="B78" s="145"/>
      <c r="C78" s="111"/>
      <c r="D78" s="111"/>
      <c r="E78" s="119" t="s">
        <v>131</v>
      </c>
      <c r="F78" s="123"/>
      <c r="G78" s="123"/>
      <c r="H78" s="123"/>
      <c r="I78" s="118">
        <f>J32</f>
        <v>25493.6708847791</v>
      </c>
      <c r="J78" s="123"/>
      <c r="K78" s="131"/>
      <c r="L78" s="132"/>
      <c r="M78" s="132"/>
      <c r="N78" s="136"/>
    </row>
    <row r="79" s="88" customFormat="true" ht="35" customHeight="true" spans="1:14">
      <c r="A79" s="146"/>
      <c r="B79" s="147"/>
      <c r="C79" s="148"/>
      <c r="D79" s="148"/>
      <c r="E79" s="119" t="s">
        <v>132</v>
      </c>
      <c r="F79" s="118">
        <f>F31</f>
        <v>6247.264896</v>
      </c>
      <c r="G79" s="118"/>
      <c r="H79" s="118"/>
      <c r="I79" s="118">
        <f>I32</f>
        <v>25493.67</v>
      </c>
      <c r="J79" s="118">
        <f>F79+I79</f>
        <v>31740.934896</v>
      </c>
      <c r="K79" s="131"/>
      <c r="L79" s="132"/>
      <c r="M79" s="132"/>
      <c r="N79" s="136"/>
    </row>
    <row r="80" s="90" customFormat="true" ht="35" customHeight="true" spans="1:18">
      <c r="A80" s="110"/>
      <c r="B80" s="145"/>
      <c r="C80" s="111"/>
      <c r="D80" s="111"/>
      <c r="E80" s="119" t="s">
        <v>133</v>
      </c>
      <c r="F80" s="123"/>
      <c r="G80" s="123"/>
      <c r="H80" s="123"/>
      <c r="I80" s="118">
        <f>I81</f>
        <v>538.007161888955</v>
      </c>
      <c r="J80" s="118">
        <f>I80</f>
        <v>538.007161888955</v>
      </c>
      <c r="K80" s="131"/>
      <c r="L80" s="132"/>
      <c r="M80" s="132"/>
      <c r="N80" s="136"/>
      <c r="R80" s="88">
        <f>J80/J83*100</f>
        <v>1.6667434791515</v>
      </c>
    </row>
    <row r="81" s="90" customFormat="true" ht="35" customHeight="true" spans="1:16">
      <c r="A81" s="110"/>
      <c r="B81" s="145"/>
      <c r="C81" s="111"/>
      <c r="D81" s="111"/>
      <c r="E81" s="124" t="s">
        <v>134</v>
      </c>
      <c r="F81" s="123"/>
      <c r="G81" s="123"/>
      <c r="H81" s="123"/>
      <c r="I81" s="123">
        <f>((Q31+R31)+J32-J34)*5%</f>
        <v>538.007161888955</v>
      </c>
      <c r="J81" s="123">
        <f>I81</f>
        <v>538.007161888955</v>
      </c>
      <c r="K81" s="131" t="s">
        <v>135</v>
      </c>
      <c r="L81" s="132"/>
      <c r="M81" s="132"/>
      <c r="N81" s="136"/>
      <c r="O81" s="88"/>
      <c r="P81" s="88"/>
    </row>
    <row r="82" s="90" customFormat="true" ht="35" customHeight="true" spans="1:14">
      <c r="A82" s="110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</row>
    <row r="83" s="88" customFormat="true" ht="35" customHeight="true" spans="1:20">
      <c r="A83" s="146"/>
      <c r="B83" s="147"/>
      <c r="C83" s="148"/>
      <c r="D83" s="148"/>
      <c r="E83" s="119" t="s">
        <v>136</v>
      </c>
      <c r="F83" s="118"/>
      <c r="G83" s="118"/>
      <c r="H83" s="118"/>
      <c r="I83" s="118"/>
      <c r="J83" s="118">
        <f>J79+J80</f>
        <v>32278.942057889</v>
      </c>
      <c r="K83" s="123"/>
      <c r="L83" s="123"/>
      <c r="M83" s="123"/>
      <c r="N83" s="135"/>
      <c r="R83" s="88">
        <f>R6+R32+R80</f>
        <v>100.000002741041</v>
      </c>
      <c r="T83" s="88">
        <f>O83*1.1</f>
        <v>0</v>
      </c>
    </row>
    <row r="84" s="90" customFormat="true" ht="23.25" customHeight="true" spans="1:20">
      <c r="A84" s="149"/>
      <c r="B84" s="150"/>
      <c r="C84" s="151"/>
      <c r="D84" s="151"/>
      <c r="E84" s="152"/>
      <c r="F84" s="153"/>
      <c r="G84" s="153"/>
      <c r="H84" s="153"/>
      <c r="I84" s="153"/>
      <c r="J84" s="153">
        <f>J85-J86</f>
        <v>8346.84</v>
      </c>
      <c r="K84" s="153"/>
      <c r="L84" s="164"/>
      <c r="M84" s="153"/>
      <c r="N84" s="153"/>
      <c r="T84" s="90">
        <f>J83-T83</f>
        <v>32278.942057889</v>
      </c>
    </row>
    <row r="85" s="90" customFormat="true" ht="23.25" customHeight="true" spans="1:14">
      <c r="A85" s="149"/>
      <c r="B85" s="150"/>
      <c r="C85" s="151"/>
      <c r="D85" s="151"/>
      <c r="E85" s="152"/>
      <c r="F85" s="153"/>
      <c r="G85" s="153"/>
      <c r="H85" s="153"/>
      <c r="I85" s="153"/>
      <c r="J85" s="153">
        <v>32278.94</v>
      </c>
      <c r="K85" s="153"/>
      <c r="L85" s="164"/>
      <c r="M85" s="153"/>
      <c r="N85" s="153"/>
    </row>
    <row r="86" s="90" customFormat="true" ht="23.25" customHeight="true" spans="1:14">
      <c r="A86" s="149"/>
      <c r="B86" s="150"/>
      <c r="C86" s="151"/>
      <c r="D86" s="151"/>
      <c r="E86" s="152"/>
      <c r="F86" s="153"/>
      <c r="G86" s="153"/>
      <c r="H86" s="153"/>
      <c r="I86" s="153"/>
      <c r="J86" s="153">
        <f>J34</f>
        <v>23932.1</v>
      </c>
      <c r="K86" s="153"/>
      <c r="L86" s="164"/>
      <c r="M86" s="153"/>
      <c r="N86" s="153"/>
    </row>
    <row r="87" s="90" customFormat="true" ht="24.75" customHeight="true" spans="1:14">
      <c r="A87" s="149"/>
      <c r="B87" s="150"/>
      <c r="C87" s="151"/>
      <c r="D87" s="151"/>
      <c r="E87" s="154"/>
      <c r="F87" s="153"/>
      <c r="G87" s="153"/>
      <c r="H87" s="153"/>
      <c r="I87" s="153"/>
      <c r="J87" s="153"/>
      <c r="K87" s="153"/>
      <c r="L87" s="164"/>
      <c r="M87" s="153"/>
      <c r="N87" s="153"/>
    </row>
    <row r="88" s="90" customFormat="true" ht="24.95" customHeight="true" spans="1:14">
      <c r="A88" s="149"/>
      <c r="B88" s="150"/>
      <c r="C88" s="151"/>
      <c r="D88" s="151"/>
      <c r="E88" s="152"/>
      <c r="F88" s="153"/>
      <c r="G88" s="153"/>
      <c r="H88" s="153"/>
      <c r="I88" s="153"/>
      <c r="J88" s="153"/>
      <c r="K88" s="153"/>
      <c r="L88" s="164"/>
      <c r="M88" s="153"/>
      <c r="N88" s="153"/>
    </row>
    <row r="89" s="90" customFormat="true" ht="24.95" customHeight="true" spans="1:14">
      <c r="A89" s="149"/>
      <c r="B89" s="150"/>
      <c r="C89" s="151"/>
      <c r="D89" s="151"/>
      <c r="E89" s="152"/>
      <c r="F89" s="153"/>
      <c r="G89" s="153"/>
      <c r="H89" s="153"/>
      <c r="I89" s="153"/>
      <c r="J89" s="153"/>
      <c r="K89" s="153"/>
      <c r="L89" s="164"/>
      <c r="M89" s="153"/>
      <c r="N89" s="153"/>
    </row>
    <row r="90" s="90" customFormat="true" ht="24.95" customHeight="true" spans="1:14">
      <c r="A90" s="149"/>
      <c r="B90" s="150"/>
      <c r="C90" s="151"/>
      <c r="D90" s="151"/>
      <c r="E90" s="152"/>
      <c r="F90" s="153"/>
      <c r="G90" s="153"/>
      <c r="H90" s="153"/>
      <c r="I90" s="153"/>
      <c r="J90" s="153"/>
      <c r="K90" s="153"/>
      <c r="L90" s="164"/>
      <c r="M90" s="153"/>
      <c r="N90" s="153"/>
    </row>
    <row r="91" s="90" customFormat="true" ht="24.95" customHeight="true" spans="1:14">
      <c r="A91" s="149"/>
      <c r="B91" s="150"/>
      <c r="C91" s="151"/>
      <c r="D91" s="151"/>
      <c r="E91" s="152"/>
      <c r="F91" s="153"/>
      <c r="G91" s="153"/>
      <c r="H91" s="153"/>
      <c r="I91" s="153"/>
      <c r="J91" s="153"/>
      <c r="K91" s="153"/>
      <c r="L91" s="164"/>
      <c r="M91" s="153"/>
      <c r="N91" s="153"/>
    </row>
    <row r="92" s="90" customFormat="true" ht="24.95" customHeight="true" spans="1:14">
      <c r="A92" s="149"/>
      <c r="B92" s="150"/>
      <c r="C92" s="151"/>
      <c r="D92" s="151"/>
      <c r="E92" s="152"/>
      <c r="F92" s="153"/>
      <c r="G92" s="153"/>
      <c r="H92" s="153"/>
      <c r="I92" s="153"/>
      <c r="J92" s="153"/>
      <c r="K92" s="153"/>
      <c r="L92" s="164"/>
      <c r="M92" s="153"/>
      <c r="N92" s="153"/>
    </row>
    <row r="93" s="90" customFormat="true" ht="24.95" customHeight="true" spans="1:14">
      <c r="A93" s="149"/>
      <c r="B93" s="150"/>
      <c r="C93" s="151"/>
      <c r="D93" s="151"/>
      <c r="E93" s="152"/>
      <c r="F93" s="153"/>
      <c r="G93" s="153"/>
      <c r="H93" s="153"/>
      <c r="I93" s="153"/>
      <c r="J93" s="165"/>
      <c r="K93" s="165"/>
      <c r="L93" s="165"/>
      <c r="M93" s="165"/>
      <c r="N93" s="165"/>
    </row>
    <row r="94" s="90" customFormat="true" ht="40" customHeight="true" spans="1:15">
      <c r="A94" s="149"/>
      <c r="B94" s="150"/>
      <c r="C94" s="151"/>
      <c r="D94" s="151"/>
      <c r="E94" s="155" t="s">
        <v>137</v>
      </c>
      <c r="F94" s="156" t="s">
        <v>138</v>
      </c>
      <c r="G94" s="156" t="s">
        <v>139</v>
      </c>
      <c r="H94" s="156" t="s">
        <v>140</v>
      </c>
      <c r="I94" s="166" t="s">
        <v>141</v>
      </c>
      <c r="J94" s="167" t="s">
        <v>9</v>
      </c>
      <c r="K94" s="168"/>
      <c r="L94" s="168"/>
      <c r="M94" s="165"/>
      <c r="N94" s="165"/>
      <c r="O94" s="174"/>
    </row>
    <row r="95" s="90" customFormat="true" ht="40" customHeight="true" spans="1:15">
      <c r="A95" s="149"/>
      <c r="B95" s="150"/>
      <c r="C95" s="151"/>
      <c r="D95" s="151"/>
      <c r="E95" s="157">
        <v>1</v>
      </c>
      <c r="F95" s="158" t="s">
        <v>142</v>
      </c>
      <c r="G95" s="159">
        <f>F6</f>
        <v>6247.264896</v>
      </c>
      <c r="H95" s="160">
        <f>G95/J83*100</f>
        <v>19.3539951984677</v>
      </c>
      <c r="I95" s="169">
        <f>M6</f>
        <v>1516.9710701334</v>
      </c>
      <c r="J95" s="170"/>
      <c r="K95" s="168"/>
      <c r="L95" s="168"/>
      <c r="M95" s="165"/>
      <c r="N95" s="165"/>
      <c r="O95" s="174"/>
    </row>
    <row r="96" s="90" customFormat="true" ht="40" customHeight="true" spans="1:15">
      <c r="A96" s="149"/>
      <c r="B96" s="150"/>
      <c r="C96" s="151"/>
      <c r="D96" s="151"/>
      <c r="E96" s="157">
        <v>1.1</v>
      </c>
      <c r="F96" s="158" t="s">
        <v>143</v>
      </c>
      <c r="G96" s="159">
        <f>F8+F20</f>
        <v>2585.058602</v>
      </c>
      <c r="H96" s="158"/>
      <c r="I96" s="169">
        <f>G96/L6*10000</f>
        <v>627.7081537465</v>
      </c>
      <c r="J96" s="170"/>
      <c r="K96" s="168"/>
      <c r="L96" s="168"/>
      <c r="M96" s="165"/>
      <c r="N96" s="165"/>
      <c r="O96" s="174"/>
    </row>
    <row r="97" s="90" customFormat="true" ht="40" customHeight="true" spans="1:15">
      <c r="A97" s="149"/>
      <c r="B97" s="150"/>
      <c r="C97" s="151"/>
      <c r="D97" s="151"/>
      <c r="E97" s="157">
        <v>1.2</v>
      </c>
      <c r="F97" s="158" t="s">
        <v>144</v>
      </c>
      <c r="G97" s="159">
        <f>F11+F12+F13+F14+F23+F24+F25</f>
        <v>1828.029872</v>
      </c>
      <c r="H97" s="158"/>
      <c r="I97" s="169">
        <f>G97/L6*10000</f>
        <v>443.885200536189</v>
      </c>
      <c r="J97" s="170"/>
      <c r="K97" s="168"/>
      <c r="L97" s="168"/>
      <c r="M97" s="165"/>
      <c r="N97" s="165"/>
      <c r="O97" s="174"/>
    </row>
    <row r="98" s="90" customFormat="true" ht="40" customHeight="true" spans="1:14">
      <c r="A98" s="149"/>
      <c r="B98" s="150"/>
      <c r="C98" s="151"/>
      <c r="D98" s="151"/>
      <c r="E98" s="157">
        <v>2</v>
      </c>
      <c r="F98" s="158" t="s">
        <v>145</v>
      </c>
      <c r="G98" s="158">
        <f>I32</f>
        <v>25493.67</v>
      </c>
      <c r="H98" s="160">
        <f>G98/J83*100</f>
        <v>78.9792613223808</v>
      </c>
      <c r="I98" s="171"/>
      <c r="J98" s="170"/>
      <c r="K98" s="153"/>
      <c r="L98" s="164"/>
      <c r="M98" s="153"/>
      <c r="N98" s="153"/>
    </row>
    <row r="99" s="90" customFormat="true" ht="40" customHeight="true" spans="1:14">
      <c r="A99" s="149"/>
      <c r="B99" s="150"/>
      <c r="C99" s="151"/>
      <c r="D99" s="151"/>
      <c r="E99" s="157">
        <v>2.1</v>
      </c>
      <c r="F99" s="158" t="s">
        <v>146</v>
      </c>
      <c r="G99" s="159">
        <f>J33</f>
        <v>24504.51</v>
      </c>
      <c r="H99" s="158"/>
      <c r="I99" s="171"/>
      <c r="J99" s="170" t="s">
        <v>147</v>
      </c>
      <c r="K99" s="153"/>
      <c r="L99" s="164"/>
      <c r="M99" s="153"/>
      <c r="N99" s="153"/>
    </row>
    <row r="100" s="90" customFormat="true" ht="40" customHeight="true" spans="1:14">
      <c r="A100" s="149"/>
      <c r="B100" s="150"/>
      <c r="C100" s="151"/>
      <c r="D100" s="151"/>
      <c r="E100" s="157">
        <v>3</v>
      </c>
      <c r="F100" s="158" t="s">
        <v>148</v>
      </c>
      <c r="G100" s="159">
        <f>I81</f>
        <v>538.007161888955</v>
      </c>
      <c r="H100" s="160">
        <f>G100/J83*100</f>
        <v>1.6667434791515</v>
      </c>
      <c r="I100" s="171"/>
      <c r="J100" s="170"/>
      <c r="K100" s="153"/>
      <c r="L100" s="164"/>
      <c r="M100" s="153"/>
      <c r="N100" s="153"/>
    </row>
    <row r="101" s="90" customFormat="true" ht="40" customHeight="true" spans="1:14">
      <c r="A101" s="149"/>
      <c r="B101" s="150"/>
      <c r="C101" s="151"/>
      <c r="D101" s="151"/>
      <c r="E101" s="157">
        <v>4</v>
      </c>
      <c r="F101" s="158" t="s">
        <v>149</v>
      </c>
      <c r="G101" s="158"/>
      <c r="H101" s="158"/>
      <c r="I101" s="171"/>
      <c r="J101" s="170"/>
      <c r="K101" s="153"/>
      <c r="L101" s="164"/>
      <c r="M101" s="153"/>
      <c r="N101" s="153"/>
    </row>
    <row r="102" s="90" customFormat="true" ht="40" customHeight="true" spans="1:14">
      <c r="A102" s="149"/>
      <c r="B102" s="150"/>
      <c r="C102" s="151"/>
      <c r="D102" s="151"/>
      <c r="E102" s="157">
        <v>5</v>
      </c>
      <c r="F102" s="158" t="s">
        <v>150</v>
      </c>
      <c r="G102" s="158"/>
      <c r="H102" s="158"/>
      <c r="I102" s="171"/>
      <c r="J102" s="170"/>
      <c r="K102" s="153"/>
      <c r="L102" s="164"/>
      <c r="M102" s="153"/>
      <c r="N102" s="153"/>
    </row>
    <row r="103" s="90" customFormat="true" ht="40" customHeight="true" spans="1:14">
      <c r="A103" s="149"/>
      <c r="B103" s="150"/>
      <c r="C103" s="151"/>
      <c r="D103" s="151"/>
      <c r="E103" s="161">
        <v>6</v>
      </c>
      <c r="F103" s="162" t="s">
        <v>19</v>
      </c>
      <c r="G103" s="163">
        <f>J83</f>
        <v>32278.942057889</v>
      </c>
      <c r="H103" s="162">
        <f>H95+H98+H100</f>
        <v>100</v>
      </c>
      <c r="I103" s="172"/>
      <c r="J103" s="173"/>
      <c r="K103" s="153"/>
      <c r="L103" s="164"/>
      <c r="M103" s="153"/>
      <c r="N103" s="153"/>
    </row>
    <row r="104" s="90" customFormat="true" ht="24.95" customHeight="true" spans="1:14">
      <c r="A104" s="149"/>
      <c r="B104" s="150"/>
      <c r="C104" s="151"/>
      <c r="D104" s="151"/>
      <c r="E104" s="152"/>
      <c r="F104" s="153"/>
      <c r="G104" s="153"/>
      <c r="H104" s="153"/>
      <c r="I104" s="153"/>
      <c r="J104" s="153"/>
      <c r="K104" s="153"/>
      <c r="L104" s="164"/>
      <c r="M104" s="153"/>
      <c r="N104" s="153"/>
    </row>
    <row r="105" s="90" customFormat="true" ht="24.95" customHeight="true" spans="1:14">
      <c r="A105" s="149"/>
      <c r="B105" s="150"/>
      <c r="C105" s="151"/>
      <c r="D105" s="151"/>
      <c r="E105" s="152"/>
      <c r="F105" s="153"/>
      <c r="G105" s="153"/>
      <c r="H105" s="153"/>
      <c r="I105" s="153"/>
      <c r="J105" s="153"/>
      <c r="K105" s="153"/>
      <c r="L105" s="164"/>
      <c r="M105" s="153"/>
      <c r="N105" s="153"/>
    </row>
    <row r="106" s="90" customFormat="true" ht="24.95" customHeight="true" spans="1:14">
      <c r="A106" s="149"/>
      <c r="B106" s="150"/>
      <c r="C106" s="151"/>
      <c r="D106" s="151"/>
      <c r="E106" s="152"/>
      <c r="F106" s="153"/>
      <c r="G106" s="153"/>
      <c r="H106" s="153"/>
      <c r="I106" s="153"/>
      <c r="J106" s="153"/>
      <c r="K106" s="153"/>
      <c r="L106" s="164"/>
      <c r="M106" s="153"/>
      <c r="N106" s="153"/>
    </row>
    <row r="107" s="90" customFormat="true" ht="24.95" customHeight="true" spans="1:14">
      <c r="A107" s="149"/>
      <c r="B107" s="150"/>
      <c r="C107" s="151"/>
      <c r="D107" s="151"/>
      <c r="E107" s="152"/>
      <c r="F107" s="153"/>
      <c r="G107" s="153"/>
      <c r="H107" s="153"/>
      <c r="I107" s="153"/>
      <c r="J107" s="153"/>
      <c r="K107" s="153"/>
      <c r="L107" s="164"/>
      <c r="M107" s="153"/>
      <c r="N107" s="153"/>
    </row>
    <row r="108" s="90" customFormat="true" ht="24.95" customHeight="true" spans="1:14">
      <c r="A108" s="149"/>
      <c r="B108" s="150"/>
      <c r="C108" s="151"/>
      <c r="D108" s="151"/>
      <c r="E108" s="152"/>
      <c r="F108" s="153"/>
      <c r="G108" s="153"/>
      <c r="H108" s="153"/>
      <c r="I108" s="153"/>
      <c r="J108" s="153"/>
      <c r="K108" s="153"/>
      <c r="L108" s="164"/>
      <c r="M108" s="153"/>
      <c r="N108" s="153"/>
    </row>
    <row r="109" s="90" customFormat="true" ht="24.95" customHeight="true" spans="1:14">
      <c r="A109" s="149"/>
      <c r="B109" s="150"/>
      <c r="C109" s="151"/>
      <c r="D109" s="151"/>
      <c r="E109" s="152"/>
      <c r="F109" s="153"/>
      <c r="G109" s="153"/>
      <c r="H109" s="153"/>
      <c r="I109" s="153"/>
      <c r="J109" s="153"/>
      <c r="K109" s="153"/>
      <c r="L109" s="164"/>
      <c r="M109" s="153"/>
      <c r="N109" s="153"/>
    </row>
    <row r="110" s="90" customFormat="true" ht="24.95" customHeight="true" spans="1:14">
      <c r="A110" s="149"/>
      <c r="B110" s="150"/>
      <c r="C110" s="151"/>
      <c r="D110" s="151"/>
      <c r="E110" s="152"/>
      <c r="F110" s="153"/>
      <c r="G110" s="153"/>
      <c r="H110" s="153"/>
      <c r="I110" s="153"/>
      <c r="J110" s="153"/>
      <c r="K110" s="153"/>
      <c r="L110" s="164"/>
      <c r="M110" s="153"/>
      <c r="N110" s="153"/>
    </row>
    <row r="111" s="90" customFormat="true" ht="24.95" customHeight="true" spans="1:14">
      <c r="A111" s="149"/>
      <c r="B111" s="150"/>
      <c r="C111" s="151"/>
      <c r="D111" s="151"/>
      <c r="E111" s="152"/>
      <c r="F111" s="153"/>
      <c r="G111" s="153"/>
      <c r="H111" s="153"/>
      <c r="I111" s="153"/>
      <c r="J111" s="153"/>
      <c r="K111" s="153"/>
      <c r="L111" s="164"/>
      <c r="M111" s="153"/>
      <c r="N111" s="153"/>
    </row>
    <row r="112" s="90" customFormat="true" ht="24.95" customHeight="true" spans="1:14">
      <c r="A112" s="149"/>
      <c r="B112" s="150"/>
      <c r="C112" s="151"/>
      <c r="D112" s="151"/>
      <c r="E112" s="152"/>
      <c r="F112" s="153"/>
      <c r="G112" s="153"/>
      <c r="H112" s="153"/>
      <c r="I112" s="153"/>
      <c r="J112" s="153"/>
      <c r="K112" s="153"/>
      <c r="L112" s="164"/>
      <c r="M112" s="153"/>
      <c r="N112" s="153"/>
    </row>
    <row r="113" s="90" customFormat="true" ht="24.95" customHeight="true" spans="1:14">
      <c r="A113" s="149"/>
      <c r="B113" s="150"/>
      <c r="C113" s="151"/>
      <c r="D113" s="151"/>
      <c r="E113" s="152"/>
      <c r="F113" s="153"/>
      <c r="G113" s="153"/>
      <c r="H113" s="153"/>
      <c r="I113" s="153"/>
      <c r="J113" s="153"/>
      <c r="K113" s="153"/>
      <c r="L113" s="164"/>
      <c r="M113" s="153"/>
      <c r="N113" s="153"/>
    </row>
    <row r="114" s="90" customFormat="true" ht="24.95" customHeight="true" spans="1:14">
      <c r="A114" s="149"/>
      <c r="B114" s="150"/>
      <c r="C114" s="151"/>
      <c r="D114" s="151"/>
      <c r="E114" s="152"/>
      <c r="F114" s="153"/>
      <c r="G114" s="153"/>
      <c r="H114" s="153"/>
      <c r="I114" s="153"/>
      <c r="J114" s="153"/>
      <c r="K114" s="153"/>
      <c r="L114" s="164"/>
      <c r="M114" s="153"/>
      <c r="N114" s="153"/>
    </row>
    <row r="115" s="90" customFormat="true" ht="24.95" customHeight="true" spans="1:14">
      <c r="A115" s="149"/>
      <c r="B115" s="150"/>
      <c r="C115" s="151"/>
      <c r="D115" s="151"/>
      <c r="E115" s="152"/>
      <c r="F115" s="153"/>
      <c r="G115" s="153"/>
      <c r="H115" s="153"/>
      <c r="I115" s="153"/>
      <c r="J115" s="153"/>
      <c r="K115" s="153"/>
      <c r="L115" s="164"/>
      <c r="M115" s="153"/>
      <c r="N115" s="153"/>
    </row>
    <row r="116" s="90" customFormat="true" ht="24.95" customHeight="true" spans="1:14">
      <c r="A116" s="149"/>
      <c r="B116" s="150"/>
      <c r="C116" s="151"/>
      <c r="D116" s="151"/>
      <c r="E116" s="152"/>
      <c r="F116" s="153"/>
      <c r="G116" s="153"/>
      <c r="H116" s="153"/>
      <c r="I116" s="153"/>
      <c r="J116" s="153"/>
      <c r="K116" s="153"/>
      <c r="L116" s="164"/>
      <c r="M116" s="153"/>
      <c r="N116" s="153"/>
    </row>
    <row r="117" s="90" customFormat="true" ht="24.95" customHeight="true" spans="1:14">
      <c r="A117" s="149"/>
      <c r="B117" s="150"/>
      <c r="C117" s="151"/>
      <c r="D117" s="151"/>
      <c r="E117" s="152"/>
      <c r="F117" s="153"/>
      <c r="G117" s="153"/>
      <c r="H117" s="153"/>
      <c r="I117" s="153"/>
      <c r="J117" s="153"/>
      <c r="K117" s="153"/>
      <c r="L117" s="164"/>
      <c r="M117" s="153"/>
      <c r="N117" s="153"/>
    </row>
    <row r="118" s="90" customFormat="true" ht="24.95" customHeight="true" spans="1:14">
      <c r="A118" s="149"/>
      <c r="B118" s="150"/>
      <c r="C118" s="151"/>
      <c r="D118" s="151"/>
      <c r="E118" s="152"/>
      <c r="F118" s="153"/>
      <c r="G118" s="153"/>
      <c r="H118" s="153"/>
      <c r="I118" s="153"/>
      <c r="J118" s="153"/>
      <c r="K118" s="153"/>
      <c r="L118" s="164"/>
      <c r="M118" s="153"/>
      <c r="N118" s="153"/>
    </row>
    <row r="119" s="90" customFormat="true" ht="24.95" customHeight="true" spans="1:14">
      <c r="A119" s="149"/>
      <c r="B119" s="150"/>
      <c r="C119" s="151"/>
      <c r="D119" s="151"/>
      <c r="E119" s="152"/>
      <c r="F119" s="153"/>
      <c r="G119" s="153"/>
      <c r="H119" s="153"/>
      <c r="I119" s="153"/>
      <c r="J119" s="153"/>
      <c r="K119" s="153"/>
      <c r="L119" s="164"/>
      <c r="M119" s="153"/>
      <c r="N119" s="153"/>
    </row>
    <row r="120" s="90" customFormat="true" ht="24.95" customHeight="true" spans="1:14">
      <c r="A120" s="149"/>
      <c r="B120" s="150"/>
      <c r="C120" s="151"/>
      <c r="D120" s="151"/>
      <c r="E120" s="152"/>
      <c r="F120" s="153"/>
      <c r="G120" s="153"/>
      <c r="H120" s="153"/>
      <c r="I120" s="153"/>
      <c r="J120" s="153"/>
      <c r="K120" s="153"/>
      <c r="L120" s="164"/>
      <c r="M120" s="153"/>
      <c r="N120" s="153"/>
    </row>
    <row r="121" s="90" customFormat="true" ht="24.95" customHeight="true" spans="1:14">
      <c r="A121" s="149"/>
      <c r="B121" s="150"/>
      <c r="C121" s="151"/>
      <c r="D121" s="151"/>
      <c r="E121" s="152"/>
      <c r="F121" s="153"/>
      <c r="G121" s="153"/>
      <c r="H121" s="153"/>
      <c r="I121" s="153"/>
      <c r="J121" s="153"/>
      <c r="K121" s="153"/>
      <c r="L121" s="164"/>
      <c r="M121" s="153"/>
      <c r="N121" s="153"/>
    </row>
    <row r="122" s="90" customFormat="true" ht="24.95" customHeight="true" spans="1:14">
      <c r="A122" s="149"/>
      <c r="B122" s="150"/>
      <c r="C122" s="151"/>
      <c r="D122" s="151"/>
      <c r="E122" s="152"/>
      <c r="F122" s="153"/>
      <c r="G122" s="153"/>
      <c r="H122" s="153"/>
      <c r="I122" s="153"/>
      <c r="J122" s="153"/>
      <c r="K122" s="153"/>
      <c r="L122" s="164"/>
      <c r="M122" s="153"/>
      <c r="N122" s="153"/>
    </row>
    <row r="123" s="90" customFormat="true" ht="24.95" customHeight="true" spans="1:14">
      <c r="A123" s="149"/>
      <c r="B123" s="150"/>
      <c r="C123" s="151"/>
      <c r="D123" s="151"/>
      <c r="E123" s="152"/>
      <c r="F123" s="153"/>
      <c r="G123" s="153"/>
      <c r="H123" s="153"/>
      <c r="I123" s="153"/>
      <c r="J123" s="153"/>
      <c r="K123" s="153"/>
      <c r="L123" s="164"/>
      <c r="M123" s="153"/>
      <c r="N123" s="153"/>
    </row>
    <row r="124" s="90" customFormat="true" ht="24.95" customHeight="true" spans="1:14">
      <c r="A124" s="149"/>
      <c r="B124" s="150"/>
      <c r="C124" s="151"/>
      <c r="D124" s="151"/>
      <c r="E124" s="152"/>
      <c r="F124" s="153"/>
      <c r="G124" s="153"/>
      <c r="H124" s="153"/>
      <c r="I124" s="153"/>
      <c r="J124" s="153"/>
      <c r="K124" s="153"/>
      <c r="L124" s="164"/>
      <c r="M124" s="153"/>
      <c r="N124" s="153"/>
    </row>
    <row r="125" s="90" customFormat="true" ht="24.95" customHeight="true" spans="1:14">
      <c r="A125" s="149"/>
      <c r="B125" s="150"/>
      <c r="C125" s="151"/>
      <c r="D125" s="151"/>
      <c r="E125" s="152"/>
      <c r="F125" s="153"/>
      <c r="G125" s="153"/>
      <c r="H125" s="153"/>
      <c r="I125" s="153"/>
      <c r="J125" s="153"/>
      <c r="K125" s="153"/>
      <c r="L125" s="164"/>
      <c r="M125" s="153"/>
      <c r="N125" s="153"/>
    </row>
    <row r="126" s="90" customFormat="true" ht="24.95" customHeight="true" spans="1:14">
      <c r="A126" s="149"/>
      <c r="B126" s="150"/>
      <c r="C126" s="151"/>
      <c r="D126" s="151"/>
      <c r="E126" s="152"/>
      <c r="F126" s="153"/>
      <c r="G126" s="153"/>
      <c r="H126" s="153"/>
      <c r="I126" s="153"/>
      <c r="J126" s="153"/>
      <c r="K126" s="153"/>
      <c r="L126" s="164"/>
      <c r="M126" s="153"/>
      <c r="N126" s="153"/>
    </row>
    <row r="127" s="90" customFormat="true" ht="24.95" customHeight="true" spans="1:14">
      <c r="A127" s="149"/>
      <c r="B127" s="150"/>
      <c r="C127" s="151"/>
      <c r="D127" s="151"/>
      <c r="E127" s="152"/>
      <c r="F127" s="153"/>
      <c r="G127" s="153"/>
      <c r="H127" s="153"/>
      <c r="I127" s="153"/>
      <c r="J127" s="153"/>
      <c r="K127" s="153"/>
      <c r="L127" s="164"/>
      <c r="M127" s="153"/>
      <c r="N127" s="153"/>
    </row>
    <row r="128" s="90" customFormat="true" ht="24.95" customHeight="true" spans="1:14">
      <c r="A128" s="149"/>
      <c r="B128" s="150"/>
      <c r="C128" s="151"/>
      <c r="D128" s="151"/>
      <c r="E128" s="152"/>
      <c r="F128" s="153"/>
      <c r="G128" s="153"/>
      <c r="H128" s="153"/>
      <c r="I128" s="153"/>
      <c r="J128" s="153"/>
      <c r="K128" s="153"/>
      <c r="L128" s="164"/>
      <c r="M128" s="153"/>
      <c r="N128" s="153"/>
    </row>
    <row r="129" s="90" customFormat="true" ht="24.95" customHeight="true" spans="1:14">
      <c r="A129" s="149"/>
      <c r="B129" s="150"/>
      <c r="C129" s="151"/>
      <c r="D129" s="151"/>
      <c r="E129" s="152"/>
      <c r="F129" s="153"/>
      <c r="G129" s="153"/>
      <c r="H129" s="153"/>
      <c r="I129" s="153"/>
      <c r="J129" s="153"/>
      <c r="K129" s="153"/>
      <c r="L129" s="164"/>
      <c r="M129" s="153"/>
      <c r="N129" s="153"/>
    </row>
    <row r="130" s="90" customFormat="true" ht="24.95" customHeight="true" spans="1:14">
      <c r="A130" s="149"/>
      <c r="B130" s="150"/>
      <c r="C130" s="151"/>
      <c r="D130" s="151"/>
      <c r="E130" s="152"/>
      <c r="F130" s="153"/>
      <c r="G130" s="153"/>
      <c r="H130" s="153"/>
      <c r="I130" s="153"/>
      <c r="J130" s="153"/>
      <c r="K130" s="153"/>
      <c r="L130" s="164"/>
      <c r="M130" s="153"/>
      <c r="N130" s="153"/>
    </row>
    <row r="131" s="90" customFormat="true" ht="24.95" customHeight="true" spans="1:14">
      <c r="A131" s="149"/>
      <c r="B131" s="150"/>
      <c r="C131" s="151"/>
      <c r="D131" s="151"/>
      <c r="E131" s="152"/>
      <c r="F131" s="153"/>
      <c r="G131" s="153"/>
      <c r="H131" s="153"/>
      <c r="I131" s="153"/>
      <c r="J131" s="153"/>
      <c r="K131" s="153"/>
      <c r="L131" s="164"/>
      <c r="M131" s="153"/>
      <c r="N131" s="153"/>
    </row>
    <row r="132" s="90" customFormat="true" ht="24.95" customHeight="true" spans="1:14">
      <c r="A132" s="149"/>
      <c r="B132" s="150"/>
      <c r="C132" s="151"/>
      <c r="D132" s="151"/>
      <c r="E132" s="152"/>
      <c r="F132" s="153"/>
      <c r="G132" s="153"/>
      <c r="H132" s="153"/>
      <c r="I132" s="153"/>
      <c r="J132" s="153"/>
      <c r="K132" s="153"/>
      <c r="L132" s="164"/>
      <c r="M132" s="153"/>
      <c r="N132" s="153"/>
    </row>
    <row r="133" s="90" customFormat="true" ht="24.95" customHeight="true" spans="1:14">
      <c r="A133" s="149"/>
      <c r="B133" s="150"/>
      <c r="C133" s="151"/>
      <c r="D133" s="151"/>
      <c r="E133" s="152"/>
      <c r="F133" s="153"/>
      <c r="G133" s="153"/>
      <c r="H133" s="153"/>
      <c r="I133" s="153"/>
      <c r="J133" s="153"/>
      <c r="K133" s="153"/>
      <c r="L133" s="164"/>
      <c r="M133" s="153"/>
      <c r="N133" s="153"/>
    </row>
    <row r="134" s="90" customFormat="true" ht="24.95" customHeight="true" spans="1:14">
      <c r="A134" s="149"/>
      <c r="B134" s="150"/>
      <c r="C134" s="151"/>
      <c r="D134" s="151"/>
      <c r="E134" s="152"/>
      <c r="F134" s="153"/>
      <c r="G134" s="153"/>
      <c r="H134" s="153"/>
      <c r="I134" s="153"/>
      <c r="J134" s="153"/>
      <c r="K134" s="153"/>
      <c r="L134" s="164"/>
      <c r="M134" s="153"/>
      <c r="N134" s="153"/>
    </row>
    <row r="135" s="90" customFormat="true" ht="24.95" customHeight="true" spans="1:14">
      <c r="A135" s="149"/>
      <c r="B135" s="150"/>
      <c r="C135" s="151"/>
      <c r="D135" s="151"/>
      <c r="E135" s="152"/>
      <c r="F135" s="153"/>
      <c r="G135" s="153"/>
      <c r="H135" s="153"/>
      <c r="I135" s="153"/>
      <c r="J135" s="153"/>
      <c r="K135" s="153"/>
      <c r="L135" s="164"/>
      <c r="M135" s="153"/>
      <c r="N135" s="153"/>
    </row>
    <row r="136" s="90" customFormat="true" ht="24.95" customHeight="true" spans="1:14">
      <c r="A136" s="149"/>
      <c r="B136" s="150"/>
      <c r="C136" s="151"/>
      <c r="D136" s="151"/>
      <c r="E136" s="152"/>
      <c r="F136" s="153"/>
      <c r="G136" s="153"/>
      <c r="H136" s="153"/>
      <c r="I136" s="153"/>
      <c r="J136" s="153"/>
      <c r="K136" s="153"/>
      <c r="L136" s="164"/>
      <c r="M136" s="153"/>
      <c r="N136" s="153"/>
    </row>
    <row r="137" s="90" customFormat="true" ht="24.95" customHeight="true" spans="1:14">
      <c r="A137" s="149"/>
      <c r="B137" s="150"/>
      <c r="C137" s="151"/>
      <c r="D137" s="151"/>
      <c r="E137" s="152"/>
      <c r="F137" s="153"/>
      <c r="G137" s="153"/>
      <c r="H137" s="153"/>
      <c r="I137" s="153"/>
      <c r="J137" s="153"/>
      <c r="K137" s="153"/>
      <c r="L137" s="164"/>
      <c r="M137" s="153"/>
      <c r="N137" s="153"/>
    </row>
    <row r="138" s="90" customFormat="true" ht="24.95" customHeight="true" spans="1:14">
      <c r="A138" s="149"/>
      <c r="B138" s="150"/>
      <c r="C138" s="151"/>
      <c r="D138" s="151"/>
      <c r="E138" s="152"/>
      <c r="F138" s="153"/>
      <c r="G138" s="153"/>
      <c r="H138" s="153"/>
      <c r="I138" s="153"/>
      <c r="J138" s="153"/>
      <c r="K138" s="153"/>
      <c r="L138" s="164"/>
      <c r="M138" s="153"/>
      <c r="N138" s="153"/>
    </row>
    <row r="139" s="90" customFormat="true" ht="24.95" customHeight="true" spans="1:14">
      <c r="A139" s="149"/>
      <c r="B139" s="150"/>
      <c r="C139" s="151"/>
      <c r="D139" s="151"/>
      <c r="E139" s="152"/>
      <c r="F139" s="153"/>
      <c r="G139" s="153"/>
      <c r="H139" s="153"/>
      <c r="I139" s="153"/>
      <c r="J139" s="153"/>
      <c r="K139" s="153"/>
      <c r="L139" s="164"/>
      <c r="M139" s="153"/>
      <c r="N139" s="153"/>
    </row>
    <row r="140" s="90" customFormat="true" ht="24.95" customHeight="true" spans="1:14">
      <c r="A140" s="149"/>
      <c r="B140" s="150"/>
      <c r="C140" s="151"/>
      <c r="D140" s="151"/>
      <c r="E140" s="152"/>
      <c r="F140" s="153"/>
      <c r="G140" s="153"/>
      <c r="H140" s="153"/>
      <c r="I140" s="153"/>
      <c r="J140" s="153"/>
      <c r="K140" s="153"/>
      <c r="L140" s="164"/>
      <c r="M140" s="153"/>
      <c r="N140" s="153"/>
    </row>
    <row r="141" s="90" customFormat="true" ht="24.95" customHeight="true" spans="1:14">
      <c r="A141" s="149"/>
      <c r="B141" s="150"/>
      <c r="C141" s="151"/>
      <c r="D141" s="151"/>
      <c r="E141" s="152"/>
      <c r="F141" s="153"/>
      <c r="G141" s="153"/>
      <c r="H141" s="153"/>
      <c r="I141" s="153"/>
      <c r="J141" s="153"/>
      <c r="K141" s="153"/>
      <c r="L141" s="164"/>
      <c r="M141" s="153"/>
      <c r="N141" s="153"/>
    </row>
    <row r="142" s="90" customFormat="true" ht="24.95" customHeight="true" spans="1:14">
      <c r="A142" s="149"/>
      <c r="B142" s="150"/>
      <c r="C142" s="151"/>
      <c r="D142" s="151"/>
      <c r="E142" s="152"/>
      <c r="F142" s="153"/>
      <c r="G142" s="153"/>
      <c r="H142" s="153"/>
      <c r="I142" s="153"/>
      <c r="J142" s="153"/>
      <c r="K142" s="153"/>
      <c r="L142" s="164"/>
      <c r="M142" s="153"/>
      <c r="N142" s="153"/>
    </row>
    <row r="143" s="90" customFormat="true" ht="24.95" customHeight="true" spans="1:14">
      <c r="A143" s="149"/>
      <c r="B143" s="150"/>
      <c r="C143" s="151"/>
      <c r="D143" s="151"/>
      <c r="E143" s="152"/>
      <c r="F143" s="153"/>
      <c r="G143" s="153"/>
      <c r="H143" s="153"/>
      <c r="I143" s="153"/>
      <c r="J143" s="153"/>
      <c r="K143" s="153"/>
      <c r="L143" s="164"/>
      <c r="M143" s="153"/>
      <c r="N143" s="153"/>
    </row>
    <row r="144" s="90" customFormat="true" ht="24.95" customHeight="true" spans="1:14">
      <c r="A144" s="149"/>
      <c r="B144" s="150"/>
      <c r="C144" s="151"/>
      <c r="D144" s="151"/>
      <c r="E144" s="152"/>
      <c r="F144" s="153"/>
      <c r="G144" s="153"/>
      <c r="H144" s="153"/>
      <c r="I144" s="153"/>
      <c r="J144" s="153"/>
      <c r="K144" s="153"/>
      <c r="L144" s="164"/>
      <c r="M144" s="153"/>
      <c r="N144" s="153"/>
    </row>
    <row r="145" s="90" customFormat="true" ht="24.95" customHeight="true" spans="1:14">
      <c r="A145" s="149"/>
      <c r="B145" s="150"/>
      <c r="C145" s="151"/>
      <c r="D145" s="151"/>
      <c r="E145" s="152"/>
      <c r="F145" s="153"/>
      <c r="G145" s="153"/>
      <c r="H145" s="153"/>
      <c r="I145" s="153"/>
      <c r="J145" s="153"/>
      <c r="K145" s="153"/>
      <c r="L145" s="164"/>
      <c r="M145" s="153"/>
      <c r="N145" s="153"/>
    </row>
    <row r="146" s="90" customFormat="true" ht="24.95" customHeight="true" spans="1:14">
      <c r="A146" s="149"/>
      <c r="B146" s="150"/>
      <c r="C146" s="151"/>
      <c r="D146" s="151"/>
      <c r="E146" s="152"/>
      <c r="F146" s="153"/>
      <c r="G146" s="153"/>
      <c r="H146" s="153"/>
      <c r="I146" s="153"/>
      <c r="J146" s="153"/>
      <c r="K146" s="153"/>
      <c r="L146" s="164"/>
      <c r="M146" s="153"/>
      <c r="N146" s="153"/>
    </row>
    <row r="147" s="90" customFormat="true" ht="24.95" customHeight="true" spans="1:14">
      <c r="A147" s="149"/>
      <c r="B147" s="150"/>
      <c r="C147" s="151"/>
      <c r="D147" s="151"/>
      <c r="E147" s="152"/>
      <c r="F147" s="153"/>
      <c r="G147" s="153"/>
      <c r="H147" s="153"/>
      <c r="I147" s="153"/>
      <c r="J147" s="153"/>
      <c r="K147" s="153"/>
      <c r="L147" s="164"/>
      <c r="M147" s="153"/>
      <c r="N147" s="153"/>
    </row>
    <row r="148" s="90" customFormat="true" ht="24.95" customHeight="true" spans="1:14">
      <c r="A148" s="149"/>
      <c r="B148" s="150"/>
      <c r="C148" s="151"/>
      <c r="D148" s="151"/>
      <c r="E148" s="152"/>
      <c r="F148" s="153"/>
      <c r="G148" s="153"/>
      <c r="H148" s="153"/>
      <c r="I148" s="153"/>
      <c r="J148" s="153"/>
      <c r="K148" s="153"/>
      <c r="L148" s="164"/>
      <c r="M148" s="153"/>
      <c r="N148" s="153"/>
    </row>
    <row r="149" s="90" customFormat="true" ht="24.95" customHeight="true" spans="1:14">
      <c r="A149" s="149"/>
      <c r="B149" s="150"/>
      <c r="C149" s="151"/>
      <c r="D149" s="151"/>
      <c r="E149" s="152"/>
      <c r="F149" s="153"/>
      <c r="G149" s="153"/>
      <c r="H149" s="153"/>
      <c r="I149" s="153"/>
      <c r="J149" s="153"/>
      <c r="K149" s="153"/>
      <c r="L149" s="164"/>
      <c r="M149" s="153"/>
      <c r="N149" s="153"/>
    </row>
    <row r="150" s="90" customFormat="true" ht="24.95" customHeight="true" spans="1:14">
      <c r="A150" s="149"/>
      <c r="B150" s="150"/>
      <c r="C150" s="151"/>
      <c r="D150" s="151"/>
      <c r="E150" s="152"/>
      <c r="F150" s="153"/>
      <c r="G150" s="153"/>
      <c r="H150" s="153"/>
      <c r="I150" s="153"/>
      <c r="J150" s="153"/>
      <c r="K150" s="153"/>
      <c r="L150" s="164"/>
      <c r="M150" s="153"/>
      <c r="N150" s="153"/>
    </row>
    <row r="151" s="90" customFormat="true" ht="24.95" customHeight="true" spans="1:14">
      <c r="A151" s="149"/>
      <c r="B151" s="150"/>
      <c r="C151" s="151"/>
      <c r="D151" s="151"/>
      <c r="E151" s="152"/>
      <c r="F151" s="153"/>
      <c r="G151" s="153"/>
      <c r="H151" s="153"/>
      <c r="I151" s="153"/>
      <c r="J151" s="153"/>
      <c r="K151" s="153"/>
      <c r="L151" s="164"/>
      <c r="M151" s="153"/>
      <c r="N151" s="153"/>
    </row>
    <row r="152" s="90" customFormat="true" ht="24.95" customHeight="true" spans="1:14">
      <c r="A152" s="149"/>
      <c r="B152" s="150"/>
      <c r="C152" s="151"/>
      <c r="D152" s="151"/>
      <c r="E152" s="152"/>
      <c r="F152" s="153"/>
      <c r="G152" s="153"/>
      <c r="H152" s="153"/>
      <c r="I152" s="153"/>
      <c r="J152" s="153"/>
      <c r="K152" s="153"/>
      <c r="L152" s="164"/>
      <c r="M152" s="153"/>
      <c r="N152" s="153"/>
    </row>
    <row r="153" s="90" customFormat="true" ht="24.95" customHeight="true" spans="1:14">
      <c r="A153" s="149"/>
      <c r="B153" s="150"/>
      <c r="C153" s="151"/>
      <c r="D153" s="151"/>
      <c r="E153" s="152"/>
      <c r="F153" s="153"/>
      <c r="G153" s="153"/>
      <c r="H153" s="153"/>
      <c r="I153" s="153"/>
      <c r="J153" s="153"/>
      <c r="K153" s="153"/>
      <c r="L153" s="164"/>
      <c r="M153" s="153"/>
      <c r="N153" s="153"/>
    </row>
    <row r="154" s="90" customFormat="true" ht="24.95" customHeight="true" spans="1:14">
      <c r="A154" s="149"/>
      <c r="B154" s="150"/>
      <c r="C154" s="151"/>
      <c r="D154" s="151"/>
      <c r="E154" s="152"/>
      <c r="F154" s="153"/>
      <c r="G154" s="153"/>
      <c r="H154" s="153"/>
      <c r="I154" s="153"/>
      <c r="J154" s="153"/>
      <c r="K154" s="153"/>
      <c r="L154" s="164"/>
      <c r="M154" s="153"/>
      <c r="N154" s="153"/>
    </row>
  </sheetData>
  <mergeCells count="66">
    <mergeCell ref="A3:N3"/>
    <mergeCell ref="F4:J4"/>
    <mergeCell ref="K4:M4"/>
    <mergeCell ref="A30:N30"/>
    <mergeCell ref="K31:M31"/>
    <mergeCell ref="K32:N32"/>
    <mergeCell ref="K33:N33"/>
    <mergeCell ref="K34:N34"/>
    <mergeCell ref="K35:N35"/>
    <mergeCell ref="K36:N36"/>
    <mergeCell ref="K37:N37"/>
    <mergeCell ref="K38:N38"/>
    <mergeCell ref="K39:N39"/>
    <mergeCell ref="K40:N40"/>
    <mergeCell ref="K41:N41"/>
    <mergeCell ref="K42:N42"/>
    <mergeCell ref="K43:N43"/>
    <mergeCell ref="K44:N44"/>
    <mergeCell ref="K45:N45"/>
    <mergeCell ref="K46:N46"/>
    <mergeCell ref="K47:N47"/>
    <mergeCell ref="K48:N48"/>
    <mergeCell ref="K49:N49"/>
    <mergeCell ref="K50:N50"/>
    <mergeCell ref="K51:N51"/>
    <mergeCell ref="K52:N52"/>
    <mergeCell ref="K53:N53"/>
    <mergeCell ref="K54:N54"/>
    <mergeCell ref="K55:N55"/>
    <mergeCell ref="K56:N56"/>
    <mergeCell ref="K57:N57"/>
    <mergeCell ref="K58:N58"/>
    <mergeCell ref="K59:N59"/>
    <mergeCell ref="K60:N60"/>
    <mergeCell ref="K61:N61"/>
    <mergeCell ref="K62:N62"/>
    <mergeCell ref="K63:N63"/>
    <mergeCell ref="K64:N64"/>
    <mergeCell ref="K65:N65"/>
    <mergeCell ref="K66:N66"/>
    <mergeCell ref="K67:N67"/>
    <mergeCell ref="K68:N68"/>
    <mergeCell ref="K69:N69"/>
    <mergeCell ref="K70:N70"/>
    <mergeCell ref="K71:N71"/>
    <mergeCell ref="K72:N72"/>
    <mergeCell ref="K73:N73"/>
    <mergeCell ref="K74:N74"/>
    <mergeCell ref="K75:N75"/>
    <mergeCell ref="K76:N76"/>
    <mergeCell ref="A77:N77"/>
    <mergeCell ref="K78:N78"/>
    <mergeCell ref="K79:N79"/>
    <mergeCell ref="K80:N80"/>
    <mergeCell ref="K81:N81"/>
    <mergeCell ref="A82:N82"/>
    <mergeCell ref="F83:I83"/>
    <mergeCell ref="K83:M83"/>
    <mergeCell ref="K93:L93"/>
    <mergeCell ref="A4:A5"/>
    <mergeCell ref="B4:B5"/>
    <mergeCell ref="C4:C5"/>
    <mergeCell ref="D4:D5"/>
    <mergeCell ref="E4:E5"/>
    <mergeCell ref="N4:N5"/>
    <mergeCell ref="A1:N2"/>
  </mergeCells>
  <pageMargins left="0.708661417322835" right="0.38" top="0.748031496062992" bottom="0.748031496062992" header="0.31496062992126" footer="0.31496062992126"/>
  <pageSetup paperSize="9" scale="75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0"/>
  <sheetViews>
    <sheetView zoomScale="85" zoomScaleNormal="85" workbookViewId="0">
      <selection activeCell="A5" sqref="A5:K78"/>
    </sheetView>
  </sheetViews>
  <sheetFormatPr defaultColWidth="9" defaultRowHeight="13.5"/>
  <cols>
    <col min="1" max="1" width="6.025" style="31" customWidth="true"/>
    <col min="2" max="2" width="28.5083333333333" style="31" customWidth="true"/>
    <col min="3" max="3" width="14.125" style="31" customWidth="true"/>
    <col min="4" max="5" width="9" style="31"/>
    <col min="6" max="6" width="10.375" style="31"/>
    <col min="7" max="7" width="12.625" style="31" customWidth="true"/>
    <col min="8" max="8" width="9" style="31"/>
    <col min="9" max="9" width="14.375" style="31" customWidth="true"/>
    <col min="10" max="10" width="16.25" style="31" customWidth="true"/>
    <col min="11" max="11" width="16.875" style="31" customWidth="true"/>
    <col min="12" max="12" width="11.75" customWidth="true"/>
    <col min="13" max="13" width="10.2916666666667" customWidth="true"/>
    <col min="14" max="14" width="14.3166666666667" customWidth="true"/>
    <col min="15" max="16" width="9.375"/>
  </cols>
  <sheetData>
    <row r="1" s="22" customFormat="true" ht="30" customHeight="true" spans="1:1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="22" customFormat="true" ht="9" customHeight="true" spans="1:1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="22" customFormat="true" ht="30" customHeight="true" spans="1:11">
      <c r="A3" s="34" t="s">
        <v>151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="22" customFormat="true" ht="30" customHeight="true" spans="1:1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="23" customFormat="true" ht="27" customHeight="true" spans="1:18">
      <c r="A5" s="36" t="s">
        <v>137</v>
      </c>
      <c r="B5" s="32" t="s">
        <v>6</v>
      </c>
      <c r="C5" s="32" t="s">
        <v>152</v>
      </c>
      <c r="D5" s="33"/>
      <c r="E5" s="33"/>
      <c r="F5" s="33"/>
      <c r="G5" s="33"/>
      <c r="H5" s="32" t="s">
        <v>8</v>
      </c>
      <c r="I5" s="33"/>
      <c r="J5" s="33"/>
      <c r="K5" s="32" t="s">
        <v>9</v>
      </c>
      <c r="L5" s="64"/>
      <c r="M5" s="64"/>
      <c r="R5" s="64"/>
    </row>
    <row r="6" s="23" customFormat="true" ht="27" customHeight="true" spans="1:11">
      <c r="A6" s="37"/>
      <c r="B6" s="33"/>
      <c r="C6" s="32" t="s">
        <v>15</v>
      </c>
      <c r="D6" s="32" t="s">
        <v>16</v>
      </c>
      <c r="E6" s="32" t="s">
        <v>153</v>
      </c>
      <c r="F6" s="32" t="s">
        <v>18</v>
      </c>
      <c r="G6" s="32" t="s">
        <v>19</v>
      </c>
      <c r="H6" s="59" t="s">
        <v>20</v>
      </c>
      <c r="I6" s="59" t="s">
        <v>21</v>
      </c>
      <c r="J6" s="32" t="s">
        <v>154</v>
      </c>
      <c r="K6" s="33"/>
    </row>
    <row r="7" s="23" customFormat="true" ht="19" customHeight="true" spans="1:14">
      <c r="A7" s="38" t="s">
        <v>155</v>
      </c>
      <c r="B7" s="39" t="s">
        <v>142</v>
      </c>
      <c r="C7" s="33">
        <f>C8+C20+C31+C32</f>
        <v>8608</v>
      </c>
      <c r="D7" s="33"/>
      <c r="E7" s="33"/>
      <c r="F7" s="33"/>
      <c r="G7" s="33">
        <f>SUM(C7:F7)</f>
        <v>8608</v>
      </c>
      <c r="H7" s="33" t="s">
        <v>156</v>
      </c>
      <c r="I7" s="65">
        <f>I8+I20+I31+I32</f>
        <v>61698.686</v>
      </c>
      <c r="J7" s="33">
        <f t="shared" ref="J7:J30" si="0">G7/I7*10000</f>
        <v>1395.16747568984</v>
      </c>
      <c r="K7" s="33"/>
      <c r="M7" s="24"/>
      <c r="N7" s="24"/>
    </row>
    <row r="8" s="23" customFormat="true" ht="42" customHeight="true" spans="1:14">
      <c r="A8" s="40">
        <v>1</v>
      </c>
      <c r="B8" s="38" t="s">
        <v>25</v>
      </c>
      <c r="C8" s="33">
        <f>SUM(C9:C19)</f>
        <v>3950.17</v>
      </c>
      <c r="D8" s="33"/>
      <c r="E8" s="33"/>
      <c r="F8" s="33"/>
      <c r="G8" s="60">
        <f>SUM(C8:F8)</f>
        <v>3950.17</v>
      </c>
      <c r="H8" s="33" t="s">
        <v>156</v>
      </c>
      <c r="I8" s="65">
        <v>26150.992</v>
      </c>
      <c r="J8" s="33">
        <f t="shared" si="0"/>
        <v>1510.5239602383</v>
      </c>
      <c r="K8" s="33"/>
      <c r="M8" s="24"/>
      <c r="N8" s="24"/>
    </row>
    <row r="9" s="24" customFormat="true" ht="19" customHeight="true" spans="1:11">
      <c r="A9" s="41">
        <v>1.1</v>
      </c>
      <c r="B9" s="42" t="s">
        <v>157</v>
      </c>
      <c r="C9" s="43">
        <v>1615.08</v>
      </c>
      <c r="D9" s="43"/>
      <c r="E9" s="43"/>
      <c r="F9" s="43"/>
      <c r="G9" s="43">
        <f t="shared" ref="G9:G19" si="1">C9</f>
        <v>1615.08</v>
      </c>
      <c r="H9" s="43" t="s">
        <v>158</v>
      </c>
      <c r="I9" s="66">
        <f>I8</f>
        <v>26150.992</v>
      </c>
      <c r="J9" s="43">
        <f t="shared" si="0"/>
        <v>617.59798634025</v>
      </c>
      <c r="K9" s="43"/>
    </row>
    <row r="10" s="24" customFormat="true" ht="19" customHeight="true" spans="1:11">
      <c r="A10" s="41">
        <v>1.2</v>
      </c>
      <c r="B10" s="42" t="s">
        <v>159</v>
      </c>
      <c r="C10" s="43">
        <v>409.05</v>
      </c>
      <c r="D10" s="43"/>
      <c r="E10" s="43"/>
      <c r="F10" s="43"/>
      <c r="G10" s="43">
        <f t="shared" si="1"/>
        <v>409.05</v>
      </c>
      <c r="H10" s="43" t="s">
        <v>158</v>
      </c>
      <c r="I10" s="66">
        <f>I8</f>
        <v>26150.992</v>
      </c>
      <c r="J10" s="43">
        <f t="shared" si="0"/>
        <v>156.418540451544</v>
      </c>
      <c r="K10" s="43"/>
    </row>
    <row r="11" s="24" customFormat="true" ht="30" customHeight="true" spans="1:11">
      <c r="A11" s="41">
        <v>1.3</v>
      </c>
      <c r="B11" s="42" t="s">
        <v>160</v>
      </c>
      <c r="C11" s="43">
        <v>56.13</v>
      </c>
      <c r="D11" s="43"/>
      <c r="E11" s="43"/>
      <c r="F11" s="43"/>
      <c r="G11" s="43">
        <f t="shared" si="1"/>
        <v>56.13</v>
      </c>
      <c r="H11" s="43" t="s">
        <v>158</v>
      </c>
      <c r="I11" s="66">
        <f>I8</f>
        <v>26150.992</v>
      </c>
      <c r="J11" s="43">
        <f t="shared" si="0"/>
        <v>21.4638129215137</v>
      </c>
      <c r="K11" s="48"/>
    </row>
    <row r="12" s="24" customFormat="true" ht="19" customHeight="true" spans="1:11">
      <c r="A12" s="41">
        <v>1.4</v>
      </c>
      <c r="B12" s="42" t="s">
        <v>161</v>
      </c>
      <c r="C12" s="43">
        <v>327.69</v>
      </c>
      <c r="D12" s="43"/>
      <c r="E12" s="43"/>
      <c r="F12" s="43"/>
      <c r="G12" s="43">
        <f t="shared" si="1"/>
        <v>327.69</v>
      </c>
      <c r="H12" s="43" t="s">
        <v>158</v>
      </c>
      <c r="I12" s="66">
        <f>I8</f>
        <v>26150.992</v>
      </c>
      <c r="J12" s="43">
        <f t="shared" si="0"/>
        <v>125.306909963492</v>
      </c>
      <c r="K12" s="43"/>
    </row>
    <row r="13" s="24" customFormat="true" ht="19" customHeight="true" spans="1:11">
      <c r="A13" s="41">
        <v>1.5</v>
      </c>
      <c r="B13" s="42" t="s">
        <v>162</v>
      </c>
      <c r="C13" s="43">
        <v>102.06</v>
      </c>
      <c r="D13" s="43"/>
      <c r="E13" s="43"/>
      <c r="F13" s="43"/>
      <c r="G13" s="43">
        <f t="shared" si="1"/>
        <v>102.06</v>
      </c>
      <c r="H13" s="43" t="s">
        <v>158</v>
      </c>
      <c r="I13" s="66">
        <f>I8</f>
        <v>26150.992</v>
      </c>
      <c r="J13" s="43">
        <f t="shared" si="0"/>
        <v>39.0272001918704</v>
      </c>
      <c r="K13" s="43"/>
    </row>
    <row r="14" s="24" customFormat="true" ht="19" customHeight="true" spans="1:11">
      <c r="A14" s="41">
        <v>1.6</v>
      </c>
      <c r="B14" s="42" t="s">
        <v>163</v>
      </c>
      <c r="C14" s="43">
        <v>357.1</v>
      </c>
      <c r="D14" s="43"/>
      <c r="E14" s="43"/>
      <c r="F14" s="43"/>
      <c r="G14" s="43">
        <f t="shared" si="1"/>
        <v>357.1</v>
      </c>
      <c r="H14" s="43" t="s">
        <v>158</v>
      </c>
      <c r="I14" s="66">
        <f>I8</f>
        <v>26150.992</v>
      </c>
      <c r="J14" s="43">
        <f t="shared" si="0"/>
        <v>136.553137257661</v>
      </c>
      <c r="K14" s="43"/>
    </row>
    <row r="15" s="24" customFormat="true" ht="19" customHeight="true" spans="1:11">
      <c r="A15" s="41">
        <v>1.7</v>
      </c>
      <c r="B15" s="42" t="s">
        <v>164</v>
      </c>
      <c r="C15" s="43">
        <v>307.55</v>
      </c>
      <c r="D15" s="43"/>
      <c r="E15" s="43"/>
      <c r="F15" s="43"/>
      <c r="G15" s="43">
        <f t="shared" si="1"/>
        <v>307.55</v>
      </c>
      <c r="H15" s="43" t="s">
        <v>158</v>
      </c>
      <c r="I15" s="66">
        <f>I8</f>
        <v>26150.992</v>
      </c>
      <c r="J15" s="43">
        <f t="shared" si="0"/>
        <v>117.605481275815</v>
      </c>
      <c r="K15" s="43"/>
    </row>
    <row r="16" s="24" customFormat="true" ht="19" customHeight="true" spans="1:11">
      <c r="A16" s="41">
        <v>1.8</v>
      </c>
      <c r="B16" s="42" t="s">
        <v>165</v>
      </c>
      <c r="C16" s="43">
        <v>352.56</v>
      </c>
      <c r="D16" s="43"/>
      <c r="E16" s="43"/>
      <c r="F16" s="43"/>
      <c r="G16" s="43">
        <f t="shared" si="1"/>
        <v>352.56</v>
      </c>
      <c r="H16" s="43" t="s">
        <v>158</v>
      </c>
      <c r="I16" s="66">
        <f>I12</f>
        <v>26150.992</v>
      </c>
      <c r="J16" s="43">
        <f t="shared" si="0"/>
        <v>134.817065448225</v>
      </c>
      <c r="K16" s="43"/>
    </row>
    <row r="17" s="24" customFormat="true" ht="19" customHeight="true" spans="1:11">
      <c r="A17" s="41">
        <v>1.9</v>
      </c>
      <c r="B17" s="42" t="s">
        <v>166</v>
      </c>
      <c r="C17" s="43">
        <v>120.72</v>
      </c>
      <c r="D17" s="43"/>
      <c r="E17" s="43"/>
      <c r="F17" s="43"/>
      <c r="G17" s="43">
        <f t="shared" si="1"/>
        <v>120.72</v>
      </c>
      <c r="H17" s="43" t="s">
        <v>158</v>
      </c>
      <c r="I17" s="66">
        <f>I12</f>
        <v>26150.992</v>
      </c>
      <c r="J17" s="43">
        <f t="shared" si="0"/>
        <v>46.1626847654575</v>
      </c>
      <c r="K17" s="43"/>
    </row>
    <row r="18" s="24" customFormat="true" ht="19" customHeight="true" spans="1:11">
      <c r="A18" s="44">
        <v>1.1</v>
      </c>
      <c r="B18" s="42" t="s">
        <v>167</v>
      </c>
      <c r="C18" s="43">
        <v>180.18</v>
      </c>
      <c r="D18" s="43"/>
      <c r="E18" s="43"/>
      <c r="F18" s="43"/>
      <c r="G18" s="43">
        <f t="shared" si="1"/>
        <v>180.18</v>
      </c>
      <c r="H18" s="43" t="s">
        <v>158</v>
      </c>
      <c r="I18" s="66">
        <f>I12</f>
        <v>26150.992</v>
      </c>
      <c r="J18" s="43">
        <f t="shared" si="0"/>
        <v>68.8998719436724</v>
      </c>
      <c r="K18" s="43"/>
    </row>
    <row r="19" s="24" customFormat="true" ht="19" customHeight="true" spans="1:11">
      <c r="A19" s="44">
        <v>1.11</v>
      </c>
      <c r="B19" s="42" t="s">
        <v>168</v>
      </c>
      <c r="C19" s="43">
        <v>122.05</v>
      </c>
      <c r="D19" s="43"/>
      <c r="E19" s="43"/>
      <c r="F19" s="43"/>
      <c r="G19" s="43">
        <f t="shared" si="1"/>
        <v>122.05</v>
      </c>
      <c r="H19" s="43" t="s">
        <v>158</v>
      </c>
      <c r="I19" s="66">
        <f>I12</f>
        <v>26150.992</v>
      </c>
      <c r="J19" s="43">
        <f t="shared" si="0"/>
        <v>46.6712696787946</v>
      </c>
      <c r="K19" s="43"/>
    </row>
    <row r="20" s="23" customFormat="true" ht="19" customHeight="true" spans="1:14">
      <c r="A20" s="40">
        <v>2</v>
      </c>
      <c r="B20" s="38" t="s">
        <v>41</v>
      </c>
      <c r="C20" s="33">
        <f>SUM(C21:C30)</f>
        <v>1844.64</v>
      </c>
      <c r="D20" s="33"/>
      <c r="E20" s="33"/>
      <c r="F20" s="33"/>
      <c r="G20" s="60">
        <f>SUM(C20:F20)</f>
        <v>1844.64</v>
      </c>
      <c r="H20" s="33" t="s">
        <v>156</v>
      </c>
      <c r="I20" s="65">
        <v>15031.5</v>
      </c>
      <c r="J20" s="33">
        <f t="shared" si="0"/>
        <v>1227.18291587666</v>
      </c>
      <c r="K20" s="33"/>
      <c r="M20" s="24"/>
      <c r="N20" s="24"/>
    </row>
    <row r="21" s="24" customFormat="true" ht="19" customHeight="true" spans="1:11">
      <c r="A21" s="41">
        <v>2.1</v>
      </c>
      <c r="B21" s="42" t="s">
        <v>157</v>
      </c>
      <c r="C21" s="43">
        <v>849.03</v>
      </c>
      <c r="D21" s="43"/>
      <c r="E21" s="43"/>
      <c r="F21" s="43"/>
      <c r="G21" s="43">
        <f t="shared" ref="G21:G32" si="2">C21</f>
        <v>849.03</v>
      </c>
      <c r="H21" s="43" t="s">
        <v>158</v>
      </c>
      <c r="I21" s="66">
        <f>I20</f>
        <v>15031.5</v>
      </c>
      <c r="J21" s="43">
        <f t="shared" si="0"/>
        <v>564.833848917274</v>
      </c>
      <c r="K21" s="43"/>
    </row>
    <row r="22" s="24" customFormat="true" ht="19" customHeight="true" spans="1:11">
      <c r="A22" s="41">
        <v>2.2</v>
      </c>
      <c r="B22" s="42" t="s">
        <v>159</v>
      </c>
      <c r="C22" s="43">
        <v>87.85</v>
      </c>
      <c r="D22" s="43"/>
      <c r="E22" s="43"/>
      <c r="F22" s="43"/>
      <c r="G22" s="43">
        <f t="shared" si="2"/>
        <v>87.85</v>
      </c>
      <c r="H22" s="43" t="s">
        <v>158</v>
      </c>
      <c r="I22" s="66">
        <f>I20</f>
        <v>15031.5</v>
      </c>
      <c r="J22" s="43">
        <f t="shared" si="0"/>
        <v>58.4439344044174</v>
      </c>
      <c r="K22" s="43"/>
    </row>
    <row r="23" s="24" customFormat="true" ht="31" customHeight="true" spans="1:11">
      <c r="A23" s="41">
        <v>2.3</v>
      </c>
      <c r="B23" s="42" t="s">
        <v>160</v>
      </c>
      <c r="C23" s="43">
        <v>53.13</v>
      </c>
      <c r="D23" s="43"/>
      <c r="E23" s="43"/>
      <c r="F23" s="43"/>
      <c r="G23" s="43">
        <f t="shared" si="2"/>
        <v>53.13</v>
      </c>
      <c r="H23" s="43" t="s">
        <v>158</v>
      </c>
      <c r="I23" s="66">
        <f>I20</f>
        <v>15031.5</v>
      </c>
      <c r="J23" s="43">
        <f t="shared" si="0"/>
        <v>35.3457738748628</v>
      </c>
      <c r="K23" s="48"/>
    </row>
    <row r="24" s="24" customFormat="true" ht="19" customHeight="true" spans="1:11">
      <c r="A24" s="41">
        <v>2.4</v>
      </c>
      <c r="B24" s="42" t="s">
        <v>161</v>
      </c>
      <c r="C24" s="43">
        <v>111.87</v>
      </c>
      <c r="D24" s="43"/>
      <c r="E24" s="43"/>
      <c r="F24" s="43"/>
      <c r="G24" s="43">
        <f t="shared" si="2"/>
        <v>111.87</v>
      </c>
      <c r="H24" s="43" t="s">
        <v>158</v>
      </c>
      <c r="I24" s="66">
        <f>I20</f>
        <v>15031.5</v>
      </c>
      <c r="J24" s="43">
        <f t="shared" si="0"/>
        <v>74.423710208562</v>
      </c>
      <c r="K24" s="43"/>
    </row>
    <row r="25" s="24" customFormat="true" ht="19" customHeight="true" spans="1:11">
      <c r="A25" s="41">
        <v>2.5</v>
      </c>
      <c r="B25" s="42" t="s">
        <v>163</v>
      </c>
      <c r="C25" s="43">
        <v>189.52</v>
      </c>
      <c r="D25" s="43"/>
      <c r="E25" s="43"/>
      <c r="F25" s="43"/>
      <c r="G25" s="43">
        <f t="shared" si="2"/>
        <v>189.52</v>
      </c>
      <c r="H25" s="43" t="s">
        <v>158</v>
      </c>
      <c r="I25" s="66">
        <f>I20</f>
        <v>15031.5</v>
      </c>
      <c r="J25" s="43">
        <f t="shared" si="0"/>
        <v>126.081894687822</v>
      </c>
      <c r="K25" s="43"/>
    </row>
    <row r="26" s="24" customFormat="true" ht="19" customHeight="true" spans="1:11">
      <c r="A26" s="41">
        <v>2.6</v>
      </c>
      <c r="B26" s="42" t="s">
        <v>164</v>
      </c>
      <c r="C26" s="43">
        <v>180.29</v>
      </c>
      <c r="D26" s="43"/>
      <c r="E26" s="43"/>
      <c r="F26" s="43"/>
      <c r="G26" s="43">
        <f t="shared" si="2"/>
        <v>180.29</v>
      </c>
      <c r="H26" s="43" t="s">
        <v>158</v>
      </c>
      <c r="I26" s="66">
        <f>I20</f>
        <v>15031.5</v>
      </c>
      <c r="J26" s="43">
        <f t="shared" si="0"/>
        <v>119.941456275155</v>
      </c>
      <c r="K26" s="43"/>
    </row>
    <row r="27" s="24" customFormat="true" ht="19" customHeight="true" spans="1:11">
      <c r="A27" s="41">
        <v>2.7</v>
      </c>
      <c r="B27" s="42" t="s">
        <v>165</v>
      </c>
      <c r="C27" s="43">
        <v>137.35</v>
      </c>
      <c r="D27" s="43"/>
      <c r="E27" s="43"/>
      <c r="F27" s="43"/>
      <c r="G27" s="43">
        <f t="shared" si="2"/>
        <v>137.35</v>
      </c>
      <c r="H27" s="43" t="s">
        <v>158</v>
      </c>
      <c r="I27" s="66">
        <f t="shared" ref="I27:I30" si="3">I20</f>
        <v>15031.5</v>
      </c>
      <c r="J27" s="43">
        <f t="shared" si="0"/>
        <v>91.3747796294448</v>
      </c>
      <c r="K27" s="43"/>
    </row>
    <row r="28" s="24" customFormat="true" ht="19" customHeight="true" spans="1:11">
      <c r="A28" s="41">
        <v>2.8</v>
      </c>
      <c r="B28" s="42" t="s">
        <v>166</v>
      </c>
      <c r="C28" s="43">
        <v>63.23</v>
      </c>
      <c r="D28" s="43"/>
      <c r="E28" s="43"/>
      <c r="F28" s="43"/>
      <c r="G28" s="43">
        <f t="shared" si="2"/>
        <v>63.23</v>
      </c>
      <c r="H28" s="43" t="s">
        <v>158</v>
      </c>
      <c r="I28" s="66">
        <f>I22</f>
        <v>15031.5</v>
      </c>
      <c r="J28" s="43">
        <f t="shared" si="0"/>
        <v>42.0649968399694</v>
      </c>
      <c r="K28" s="43"/>
    </row>
    <row r="29" s="24" customFormat="true" ht="19" customHeight="true" spans="1:11">
      <c r="A29" s="41">
        <v>2.9</v>
      </c>
      <c r="B29" s="42" t="s">
        <v>167</v>
      </c>
      <c r="C29" s="43">
        <v>109.85</v>
      </c>
      <c r="D29" s="43"/>
      <c r="E29" s="43"/>
      <c r="F29" s="43"/>
      <c r="G29" s="43">
        <f t="shared" si="2"/>
        <v>109.85</v>
      </c>
      <c r="H29" s="43" t="s">
        <v>158</v>
      </c>
      <c r="I29" s="66">
        <f t="shared" si="3"/>
        <v>15031.5</v>
      </c>
      <c r="J29" s="43">
        <f t="shared" si="0"/>
        <v>73.0798656155407</v>
      </c>
      <c r="K29" s="43"/>
    </row>
    <row r="30" s="24" customFormat="true" ht="19" customHeight="true" spans="1:11">
      <c r="A30" s="44">
        <v>2.1</v>
      </c>
      <c r="B30" s="42" t="s">
        <v>168</v>
      </c>
      <c r="C30" s="43">
        <v>62.52</v>
      </c>
      <c r="D30" s="43"/>
      <c r="E30" s="43"/>
      <c r="F30" s="43"/>
      <c r="G30" s="43">
        <f t="shared" si="2"/>
        <v>62.52</v>
      </c>
      <c r="H30" s="43" t="s">
        <v>158</v>
      </c>
      <c r="I30" s="66">
        <f t="shared" si="3"/>
        <v>15031.5</v>
      </c>
      <c r="J30" s="43">
        <f t="shared" si="0"/>
        <v>41.5926554236104</v>
      </c>
      <c r="K30" s="43"/>
    </row>
    <row r="31" s="24" customFormat="true" ht="19" customHeight="true" spans="1:14">
      <c r="A31" s="45">
        <v>3</v>
      </c>
      <c r="B31" s="38" t="s">
        <v>169</v>
      </c>
      <c r="C31" s="35">
        <v>1875.49</v>
      </c>
      <c r="D31" s="35"/>
      <c r="E31" s="35"/>
      <c r="F31" s="35"/>
      <c r="G31" s="33">
        <f t="shared" si="2"/>
        <v>1875.49</v>
      </c>
      <c r="H31" s="33" t="s">
        <v>156</v>
      </c>
      <c r="I31" s="65">
        <v>13926.7</v>
      </c>
      <c r="J31" s="60">
        <f>ROUND(G31/I31*10000,2)</f>
        <v>1346.69</v>
      </c>
      <c r="K31" s="67" t="s">
        <v>170</v>
      </c>
      <c r="M31" s="74"/>
      <c r="N31" s="75"/>
    </row>
    <row r="32" s="24" customFormat="true" ht="19" customHeight="true" spans="1:14">
      <c r="A32" s="45">
        <v>4</v>
      </c>
      <c r="B32" s="38" t="s">
        <v>171</v>
      </c>
      <c r="C32" s="35">
        <v>937.7</v>
      </c>
      <c r="D32" s="35"/>
      <c r="E32" s="35"/>
      <c r="F32" s="35"/>
      <c r="G32" s="33">
        <f t="shared" si="2"/>
        <v>937.7</v>
      </c>
      <c r="H32" s="60" t="s">
        <v>156</v>
      </c>
      <c r="I32" s="65">
        <v>6589.494</v>
      </c>
      <c r="J32" s="60">
        <f>ROUND(G32/I32*10000,2)</f>
        <v>1423.02</v>
      </c>
      <c r="K32" s="67" t="s">
        <v>170</v>
      </c>
      <c r="M32" s="74"/>
      <c r="N32" s="75"/>
    </row>
    <row r="33" s="23" customFormat="true" ht="20" customHeight="true" spans="1:16">
      <c r="A33" s="36" t="s">
        <v>172</v>
      </c>
      <c r="B33" s="39" t="s">
        <v>173</v>
      </c>
      <c r="C33" s="33"/>
      <c r="D33" s="33"/>
      <c r="E33" s="33"/>
      <c r="F33" s="33">
        <f>ROUND(SUM(F34:F75),2)</f>
        <v>25478.08</v>
      </c>
      <c r="G33" s="33">
        <f>G34+G46+G47+G48+G49+G50+G53+G54+G55+G56+G60+G61+G62+G66+G67+G68+G69+G70+G71+G72+G73+G74+G75</f>
        <v>25478.08102668</v>
      </c>
      <c r="H33" s="61"/>
      <c r="I33" s="68"/>
      <c r="J33" s="68"/>
      <c r="K33" s="69"/>
      <c r="L33" s="64"/>
      <c r="M33" s="64">
        <f>G8+G20</f>
        <v>5794.81</v>
      </c>
      <c r="N33" s="64"/>
      <c r="O33" s="64"/>
      <c r="P33" s="64"/>
    </row>
    <row r="34" s="25" customFormat="true" ht="20" customHeight="true" spans="1:16">
      <c r="A34" s="46">
        <v>1</v>
      </c>
      <c r="B34" s="47" t="str">
        <f>'修改后送审概算汇总表（未更新，不需要）'!E33</f>
        <v>建设用地费及管线迁移</v>
      </c>
      <c r="C34" s="48"/>
      <c r="D34" s="48"/>
      <c r="E34" s="48"/>
      <c r="F34" s="48"/>
      <c r="G34" s="48">
        <f>G35+G36+G45</f>
        <v>24504.51</v>
      </c>
      <c r="H34" s="61"/>
      <c r="I34" s="68"/>
      <c r="J34" s="68"/>
      <c r="K34" s="69"/>
      <c r="L34" s="70"/>
      <c r="M34" s="70"/>
      <c r="P34" s="70"/>
    </row>
    <row r="35" s="26" customFormat="true" ht="20" customHeight="true" spans="1:11">
      <c r="A35" s="49">
        <v>1.1</v>
      </c>
      <c r="B35" s="50" t="s">
        <v>64</v>
      </c>
      <c r="C35" s="51"/>
      <c r="D35" s="51"/>
      <c r="E35" s="51"/>
      <c r="F35" s="51">
        <f>'修改后送审概算汇总表（未更新，不需要）'!I34</f>
        <v>23932.1</v>
      </c>
      <c r="G35" s="51">
        <f>F35</f>
        <v>23932.1</v>
      </c>
      <c r="H35" s="62"/>
      <c r="I35" s="71"/>
      <c r="J35" s="71"/>
      <c r="K35" s="72"/>
    </row>
    <row r="36" s="27" customFormat="true" ht="20" customHeight="true" spans="1:20">
      <c r="A36" s="52">
        <v>1.2</v>
      </c>
      <c r="B36" s="53" t="s">
        <v>66</v>
      </c>
      <c r="C36" s="54"/>
      <c r="D36" s="54"/>
      <c r="E36" s="54"/>
      <c r="F36" s="54"/>
      <c r="G36" s="54">
        <f>SUM(F37:F44)</f>
        <v>422.41</v>
      </c>
      <c r="H36" s="62"/>
      <c r="I36" s="71"/>
      <c r="J36" s="71"/>
      <c r="K36" s="72"/>
      <c r="L36" s="26"/>
      <c r="M36" s="26"/>
      <c r="P36" s="26"/>
      <c r="Q36" s="26"/>
      <c r="R36" s="26"/>
      <c r="S36" s="26"/>
      <c r="T36" s="26"/>
    </row>
    <row r="37" s="27" customFormat="true" ht="20" customHeight="true" spans="1:20">
      <c r="A37" s="55" t="s">
        <v>174</v>
      </c>
      <c r="B37" s="53" t="s">
        <v>68</v>
      </c>
      <c r="C37" s="54"/>
      <c r="D37" s="54"/>
      <c r="E37" s="54"/>
      <c r="F37" s="54">
        <v>171.91</v>
      </c>
      <c r="G37" s="54">
        <f>F37</f>
        <v>171.91</v>
      </c>
      <c r="H37" s="63" t="s">
        <v>175</v>
      </c>
      <c r="I37" s="71"/>
      <c r="J37" s="71"/>
      <c r="K37" s="72"/>
      <c r="L37" s="26"/>
      <c r="M37" s="26"/>
      <c r="N37" s="26"/>
      <c r="O37" s="26"/>
      <c r="P37" s="26"/>
      <c r="Q37" s="26"/>
      <c r="R37" s="26"/>
      <c r="S37" s="26"/>
      <c r="T37" s="26"/>
    </row>
    <row r="38" s="27" customFormat="true" ht="20" customHeight="true" spans="1:20">
      <c r="A38" s="55" t="s">
        <v>176</v>
      </c>
      <c r="B38" s="53" t="s">
        <v>177</v>
      </c>
      <c r="C38" s="54"/>
      <c r="D38" s="54"/>
      <c r="E38" s="54"/>
      <c r="F38" s="54">
        <v>89</v>
      </c>
      <c r="G38" s="54">
        <f t="shared" ref="G38:G44" si="4">F38</f>
        <v>89</v>
      </c>
      <c r="H38" s="63" t="s">
        <v>178</v>
      </c>
      <c r="I38" s="71"/>
      <c r="J38" s="71"/>
      <c r="K38" s="72"/>
      <c r="L38" s="26"/>
      <c r="M38" s="26"/>
      <c r="N38" s="26"/>
      <c r="O38" s="26"/>
      <c r="P38" s="26"/>
      <c r="Q38" s="26"/>
      <c r="R38" s="26"/>
      <c r="S38" s="26"/>
      <c r="T38" s="26"/>
    </row>
    <row r="39" s="27" customFormat="true" ht="20" customHeight="true" spans="1:20">
      <c r="A39" s="55" t="s">
        <v>179</v>
      </c>
      <c r="B39" s="53" t="s">
        <v>180</v>
      </c>
      <c r="C39" s="54"/>
      <c r="D39" s="54"/>
      <c r="E39" s="54"/>
      <c r="F39" s="54">
        <v>20</v>
      </c>
      <c r="G39" s="54">
        <f t="shared" si="4"/>
        <v>20</v>
      </c>
      <c r="H39" s="63" t="s">
        <v>178</v>
      </c>
      <c r="I39" s="71"/>
      <c r="J39" s="71"/>
      <c r="K39" s="72"/>
      <c r="L39" s="26"/>
      <c r="M39" s="26"/>
      <c r="N39" s="26"/>
      <c r="O39" s="26"/>
      <c r="P39" s="26"/>
      <c r="Q39" s="26"/>
      <c r="R39" s="26"/>
      <c r="S39" s="26"/>
      <c r="T39" s="26"/>
    </row>
    <row r="40" s="27" customFormat="true" ht="20" customHeight="true" spans="1:20">
      <c r="A40" s="55" t="s">
        <v>181</v>
      </c>
      <c r="B40" s="53" t="s">
        <v>182</v>
      </c>
      <c r="C40" s="54"/>
      <c r="D40" s="54"/>
      <c r="E40" s="54"/>
      <c r="F40" s="54">
        <v>70</v>
      </c>
      <c r="G40" s="54">
        <f t="shared" si="4"/>
        <v>70</v>
      </c>
      <c r="H40" s="63" t="s">
        <v>183</v>
      </c>
      <c r="I40" s="71"/>
      <c r="J40" s="71"/>
      <c r="K40" s="72"/>
      <c r="L40" s="26"/>
      <c r="M40" s="26"/>
      <c r="N40" s="26"/>
      <c r="O40" s="26"/>
      <c r="P40" s="26"/>
      <c r="Q40" s="26"/>
      <c r="R40" s="26"/>
      <c r="S40" s="26"/>
      <c r="T40" s="26"/>
    </row>
    <row r="41" s="27" customFormat="true" ht="20" customHeight="true" spans="1:20">
      <c r="A41" s="55" t="s">
        <v>184</v>
      </c>
      <c r="B41" s="53" t="s">
        <v>185</v>
      </c>
      <c r="C41" s="54"/>
      <c r="D41" s="54"/>
      <c r="E41" s="54"/>
      <c r="F41" s="54">
        <v>70</v>
      </c>
      <c r="G41" s="54">
        <f t="shared" si="4"/>
        <v>70</v>
      </c>
      <c r="H41" s="63" t="s">
        <v>183</v>
      </c>
      <c r="I41" s="71"/>
      <c r="J41" s="71"/>
      <c r="K41" s="72"/>
      <c r="L41" s="26"/>
      <c r="M41" s="26"/>
      <c r="N41" s="26"/>
      <c r="O41" s="26"/>
      <c r="P41" s="26"/>
      <c r="Q41" s="26"/>
      <c r="R41" s="26"/>
      <c r="S41" s="26"/>
      <c r="T41" s="26"/>
    </row>
    <row r="42" s="27" customFormat="true" ht="20" customHeight="true" spans="1:20">
      <c r="A42" s="55" t="s">
        <v>186</v>
      </c>
      <c r="B42" s="53" t="s">
        <v>187</v>
      </c>
      <c r="C42" s="54"/>
      <c r="D42" s="54"/>
      <c r="E42" s="54"/>
      <c r="F42" s="54">
        <f t="shared" ref="F42:F44" si="5">1*5000/10000</f>
        <v>0.5</v>
      </c>
      <c r="G42" s="54">
        <f t="shared" si="4"/>
        <v>0.5</v>
      </c>
      <c r="H42" s="63" t="s">
        <v>183</v>
      </c>
      <c r="I42" s="71"/>
      <c r="J42" s="71"/>
      <c r="K42" s="72"/>
      <c r="L42" s="26"/>
      <c r="M42" s="26"/>
      <c r="N42" s="26"/>
      <c r="O42" s="26"/>
      <c r="P42" s="26"/>
      <c r="Q42" s="26"/>
      <c r="R42" s="26"/>
      <c r="S42" s="26"/>
      <c r="T42" s="26"/>
    </row>
    <row r="43" s="27" customFormat="true" ht="20" customHeight="true" spans="1:20">
      <c r="A43" s="55" t="s">
        <v>188</v>
      </c>
      <c r="B43" s="53" t="s">
        <v>189</v>
      </c>
      <c r="C43" s="54"/>
      <c r="D43" s="54"/>
      <c r="E43" s="54"/>
      <c r="F43" s="54">
        <f t="shared" si="5"/>
        <v>0.5</v>
      </c>
      <c r="G43" s="54">
        <f t="shared" si="4"/>
        <v>0.5</v>
      </c>
      <c r="H43" s="63" t="s">
        <v>183</v>
      </c>
      <c r="I43" s="71"/>
      <c r="J43" s="71"/>
      <c r="K43" s="72"/>
      <c r="L43" s="26"/>
      <c r="M43" s="26"/>
      <c r="N43" s="26"/>
      <c r="O43" s="26"/>
      <c r="P43" s="26"/>
      <c r="Q43" s="26"/>
      <c r="R43" s="26"/>
      <c r="S43" s="26"/>
      <c r="T43" s="26"/>
    </row>
    <row r="44" s="27" customFormat="true" ht="20" customHeight="true" spans="1:20">
      <c r="A44" s="55" t="s">
        <v>190</v>
      </c>
      <c r="B44" s="53" t="s">
        <v>191</v>
      </c>
      <c r="C44" s="54"/>
      <c r="D44" s="54"/>
      <c r="E44" s="54"/>
      <c r="F44" s="54">
        <f t="shared" si="5"/>
        <v>0.5</v>
      </c>
      <c r="G44" s="54">
        <f t="shared" si="4"/>
        <v>0.5</v>
      </c>
      <c r="H44" s="63" t="s">
        <v>183</v>
      </c>
      <c r="I44" s="71"/>
      <c r="J44" s="71"/>
      <c r="K44" s="72"/>
      <c r="L44" s="26"/>
      <c r="M44" s="26"/>
      <c r="N44" s="28"/>
      <c r="O44" s="28"/>
      <c r="P44" s="28"/>
      <c r="Q44" s="28"/>
      <c r="R44" s="28"/>
      <c r="S44" s="26"/>
      <c r="T44" s="26"/>
    </row>
    <row r="45" s="26" customFormat="true" ht="20" customHeight="true" spans="1:18">
      <c r="A45" s="52">
        <v>1.3</v>
      </c>
      <c r="B45" s="50" t="s">
        <v>192</v>
      </c>
      <c r="C45" s="51"/>
      <c r="D45" s="51"/>
      <c r="E45" s="51"/>
      <c r="F45" s="51">
        <f>30*5</f>
        <v>150</v>
      </c>
      <c r="G45" s="51">
        <f t="shared" ref="G45:G48" si="6">F45</f>
        <v>150</v>
      </c>
      <c r="H45" s="63" t="s">
        <v>183</v>
      </c>
      <c r="I45" s="71"/>
      <c r="J45" s="71"/>
      <c r="K45" s="72"/>
      <c r="N45" s="28"/>
      <c r="O45" s="28"/>
      <c r="P45" s="28"/>
      <c r="Q45" s="28"/>
      <c r="R45" s="28"/>
    </row>
    <row r="46" s="28" customFormat="true" ht="20" customHeight="true" spans="1:12">
      <c r="A46" s="56">
        <v>2</v>
      </c>
      <c r="B46" s="50" t="s">
        <v>81</v>
      </c>
      <c r="C46" s="57"/>
      <c r="D46" s="57"/>
      <c r="E46" s="57"/>
      <c r="F46" s="51">
        <f>(140+(G80-G34-L46-10000)*1%)</f>
        <v>139.2144</v>
      </c>
      <c r="G46" s="51">
        <f t="shared" si="6"/>
        <v>139.2144</v>
      </c>
      <c r="H46" s="63" t="s">
        <v>193</v>
      </c>
      <c r="I46" s="71"/>
      <c r="J46" s="71"/>
      <c r="K46" s="72"/>
      <c r="L46" s="73">
        <v>139.21</v>
      </c>
    </row>
    <row r="47" s="26" customFormat="true" ht="20" customHeight="true" spans="1:18">
      <c r="A47" s="56">
        <v>3</v>
      </c>
      <c r="B47" s="50" t="s">
        <v>83</v>
      </c>
      <c r="C47" s="51"/>
      <c r="D47" s="51"/>
      <c r="E47" s="51"/>
      <c r="F47" s="51">
        <f>(181+(G7-8000)/2000*(218.6-181))*0.8</f>
        <v>153.94432</v>
      </c>
      <c r="G47" s="51">
        <f t="shared" si="6"/>
        <v>153.94432</v>
      </c>
      <c r="H47" s="63" t="s">
        <v>194</v>
      </c>
      <c r="I47" s="71"/>
      <c r="J47" s="71"/>
      <c r="K47" s="72"/>
      <c r="N47" s="28"/>
      <c r="O47" s="28"/>
      <c r="P47" s="28"/>
      <c r="Q47" s="28"/>
      <c r="R47" s="28"/>
    </row>
    <row r="48" s="26" customFormat="true" ht="20" customHeight="true" spans="1:18">
      <c r="A48" s="56">
        <v>4</v>
      </c>
      <c r="B48" s="50" t="s">
        <v>86</v>
      </c>
      <c r="C48" s="51"/>
      <c r="D48" s="51"/>
      <c r="E48" s="51"/>
      <c r="F48" s="51">
        <v>18</v>
      </c>
      <c r="G48" s="51">
        <f t="shared" si="6"/>
        <v>18</v>
      </c>
      <c r="H48" s="63" t="s">
        <v>195</v>
      </c>
      <c r="I48" s="71"/>
      <c r="J48" s="71"/>
      <c r="K48" s="72"/>
      <c r="L48" s="26" t="s">
        <v>196</v>
      </c>
      <c r="M48" s="26">
        <f>(28+(75-28)*(G80-10000)/40000)*0.7*0.8</f>
        <v>31.84387528</v>
      </c>
      <c r="N48" s="28"/>
      <c r="O48" s="28"/>
      <c r="P48" s="28"/>
      <c r="Q48" s="28"/>
      <c r="R48" s="28"/>
    </row>
    <row r="49" s="26" customFormat="true" ht="20" customHeight="true" spans="1:18">
      <c r="A49" s="56">
        <v>5</v>
      </c>
      <c r="B49" s="50" t="s">
        <v>90</v>
      </c>
      <c r="C49" s="51"/>
      <c r="D49" s="51"/>
      <c r="E49" s="51"/>
      <c r="F49" s="51">
        <f>180.6</f>
        <v>180.6</v>
      </c>
      <c r="G49" s="51">
        <f t="shared" ref="G49:G55" si="7">F49</f>
        <v>180.6</v>
      </c>
      <c r="H49" s="63" t="s">
        <v>195</v>
      </c>
      <c r="I49" s="71"/>
      <c r="J49" s="71"/>
      <c r="K49" s="72"/>
      <c r="L49" s="26" t="s">
        <v>196</v>
      </c>
      <c r="M49" s="26">
        <f>ROUND(((304.8-249.6)/(10000-8000)*(G7-8000)+249.6)*0.85*0.8,2)</f>
        <v>181.14</v>
      </c>
      <c r="N49" s="28"/>
      <c r="O49" s="28"/>
      <c r="P49" s="28"/>
      <c r="Q49" s="28"/>
      <c r="R49" s="28"/>
    </row>
    <row r="50" s="26" customFormat="true" ht="20" customHeight="true" spans="1:18">
      <c r="A50" s="56">
        <v>6</v>
      </c>
      <c r="B50" s="50" t="s">
        <v>91</v>
      </c>
      <c r="C50" s="51"/>
      <c r="D50" s="51"/>
      <c r="E50" s="51"/>
      <c r="F50" s="51"/>
      <c r="G50" s="51">
        <f>SUM(F51:F52)</f>
        <v>26.5343082</v>
      </c>
      <c r="H50" s="62"/>
      <c r="I50" s="71"/>
      <c r="J50" s="71"/>
      <c r="K50" s="72"/>
      <c r="N50" s="28"/>
      <c r="O50" s="28"/>
      <c r="P50" s="28"/>
      <c r="Q50" s="28"/>
      <c r="R50" s="28"/>
    </row>
    <row r="51" s="29" customFormat="true" ht="20" customHeight="true" spans="1:18">
      <c r="A51" s="49">
        <v>6.1</v>
      </c>
      <c r="B51" s="50" t="s">
        <v>92</v>
      </c>
      <c r="C51" s="51"/>
      <c r="D51" s="51"/>
      <c r="E51" s="51"/>
      <c r="F51" s="51">
        <f>'修改后送审概算汇总表（未更新，不需要）'!I52</f>
        <v>11.9043082</v>
      </c>
      <c r="G51" s="51">
        <f>F51</f>
        <v>11.9043082</v>
      </c>
      <c r="H51" s="63" t="s">
        <v>197</v>
      </c>
      <c r="I51" s="71"/>
      <c r="J51" s="71"/>
      <c r="K51" s="72"/>
      <c r="L51" s="26"/>
      <c r="M51" s="26"/>
      <c r="N51" s="28"/>
      <c r="O51" s="28"/>
      <c r="P51" s="28"/>
      <c r="Q51" s="28"/>
      <c r="R51" s="28"/>
    </row>
    <row r="52" s="26" customFormat="true" ht="20" customHeight="true" spans="1:11">
      <c r="A52" s="52">
        <v>6.2</v>
      </c>
      <c r="B52" s="50" t="s">
        <v>94</v>
      </c>
      <c r="C52" s="51"/>
      <c r="D52" s="51"/>
      <c r="E52" s="51"/>
      <c r="F52" s="51">
        <f>14.63</f>
        <v>14.63</v>
      </c>
      <c r="G52" s="51">
        <f>F52</f>
        <v>14.63</v>
      </c>
      <c r="H52" s="63" t="s">
        <v>195</v>
      </c>
      <c r="I52" s="71"/>
      <c r="J52" s="71"/>
      <c r="K52" s="72"/>
    </row>
    <row r="53" s="26" customFormat="true" ht="20" customHeight="true" spans="1:11">
      <c r="A53" s="56">
        <v>7</v>
      </c>
      <c r="B53" s="50" t="s">
        <v>95</v>
      </c>
      <c r="C53" s="51"/>
      <c r="D53" s="51"/>
      <c r="E53" s="51"/>
      <c r="F53" s="51">
        <f>G7*0.5%</f>
        <v>43.04</v>
      </c>
      <c r="G53" s="51">
        <f t="shared" si="7"/>
        <v>43.04</v>
      </c>
      <c r="H53" s="63" t="s">
        <v>198</v>
      </c>
      <c r="I53" s="71"/>
      <c r="J53" s="71"/>
      <c r="K53" s="72"/>
    </row>
    <row r="54" s="26" customFormat="true" ht="20" customHeight="true" spans="1:11">
      <c r="A54" s="56">
        <v>8</v>
      </c>
      <c r="B54" s="50" t="s">
        <v>97</v>
      </c>
      <c r="C54" s="51"/>
      <c r="D54" s="51"/>
      <c r="E54" s="51"/>
      <c r="F54" s="51">
        <f>G7*0.3%</f>
        <v>25.824</v>
      </c>
      <c r="G54" s="51">
        <f t="shared" si="7"/>
        <v>25.824</v>
      </c>
      <c r="H54" s="63" t="s">
        <v>199</v>
      </c>
      <c r="I54" s="71"/>
      <c r="J54" s="71"/>
      <c r="K54" s="72"/>
    </row>
    <row r="55" s="26" customFormat="true" ht="20" customHeight="true" spans="1:13">
      <c r="A55" s="56">
        <v>9</v>
      </c>
      <c r="B55" s="50" t="s">
        <v>99</v>
      </c>
      <c r="C55" s="51"/>
      <c r="D55" s="51"/>
      <c r="E55" s="51"/>
      <c r="F55" s="51">
        <f>18</f>
        <v>18</v>
      </c>
      <c r="G55" s="51">
        <f t="shared" si="7"/>
        <v>18</v>
      </c>
      <c r="H55" s="63" t="s">
        <v>195</v>
      </c>
      <c r="I55" s="71"/>
      <c r="J55" s="71"/>
      <c r="K55" s="72"/>
      <c r="L55" s="26" t="s">
        <v>196</v>
      </c>
      <c r="M55" s="26">
        <f>ROUND((500*0.005+(1000-500)*0.0046+(5000-1000)*0.004+(G7-5000)*0.0035)*0.8,2)</f>
        <v>26.74</v>
      </c>
    </row>
    <row r="56" s="26" customFormat="true" ht="20" customHeight="true" spans="1:11">
      <c r="A56" s="56">
        <v>10</v>
      </c>
      <c r="B56" s="50" t="s">
        <v>100</v>
      </c>
      <c r="C56" s="51"/>
      <c r="D56" s="51"/>
      <c r="E56" s="51"/>
      <c r="F56" s="51"/>
      <c r="G56" s="51">
        <f>SUM(F57:F59)</f>
        <v>25.70435456</v>
      </c>
      <c r="H56" s="62"/>
      <c r="I56" s="71"/>
      <c r="J56" s="71"/>
      <c r="K56" s="72"/>
    </row>
    <row r="57" s="26" customFormat="true" ht="20" customHeight="true" spans="1:11">
      <c r="A57" s="52">
        <v>10.1</v>
      </c>
      <c r="B57" s="50" t="s">
        <v>102</v>
      </c>
      <c r="C57" s="51"/>
      <c r="D57" s="51"/>
      <c r="E57" s="51"/>
      <c r="F57" s="51">
        <f>(100*1%+(500-100)*0.7%+(1000-500)*0.55%+(5000-1000)*0.35%+(G7-5000)*0.2%)*0.8</f>
        <v>22.2128</v>
      </c>
      <c r="G57" s="51">
        <f>F57</f>
        <v>22.2128</v>
      </c>
      <c r="H57" s="63" t="s">
        <v>200</v>
      </c>
      <c r="I57" s="71"/>
      <c r="J57" s="71"/>
      <c r="K57" s="72"/>
    </row>
    <row r="58" s="30" customFormat="true" ht="20" customHeight="true" spans="1:18">
      <c r="A58" s="52">
        <v>10.2</v>
      </c>
      <c r="B58" s="50" t="s">
        <v>105</v>
      </c>
      <c r="C58" s="51"/>
      <c r="D58" s="51"/>
      <c r="E58" s="51"/>
      <c r="F58" s="51">
        <f>1.7</f>
        <v>1.7</v>
      </c>
      <c r="G58" s="51">
        <f>F58</f>
        <v>1.7</v>
      </c>
      <c r="H58" s="63" t="s">
        <v>195</v>
      </c>
      <c r="I58" s="71"/>
      <c r="J58" s="71"/>
      <c r="K58" s="72"/>
      <c r="L58" s="26" t="s">
        <v>196</v>
      </c>
      <c r="M58" s="30">
        <f>(100*1.5/100+(M49/0.8-100)*0.8/100)*0.8</f>
        <v>2.00912</v>
      </c>
      <c r="N58" s="76"/>
      <c r="O58" s="76"/>
      <c r="P58" s="76"/>
      <c r="Q58" s="76"/>
      <c r="R58" s="76"/>
    </row>
    <row r="59" s="30" customFormat="true" ht="20" customHeight="true" spans="1:18">
      <c r="A59" s="52">
        <v>10.3</v>
      </c>
      <c r="B59" s="50" t="s">
        <v>106</v>
      </c>
      <c r="C59" s="51"/>
      <c r="D59" s="51"/>
      <c r="E59" s="51"/>
      <c r="F59" s="51">
        <f>(100*1.5/100+(F47/0.8-100)*0.8/100)*0.8</f>
        <v>1.79155456</v>
      </c>
      <c r="G59" s="51">
        <f>F59</f>
        <v>1.79155456</v>
      </c>
      <c r="H59" s="63" t="s">
        <v>200</v>
      </c>
      <c r="I59" s="71"/>
      <c r="J59" s="71"/>
      <c r="K59" s="72"/>
      <c r="N59" s="76"/>
      <c r="O59" s="76"/>
      <c r="P59" s="76"/>
      <c r="Q59" s="76"/>
      <c r="R59" s="76"/>
    </row>
    <row r="60" s="26" customFormat="true" ht="20" customHeight="true" spans="1:13">
      <c r="A60" s="56">
        <v>11</v>
      </c>
      <c r="B60" s="50" t="s">
        <v>108</v>
      </c>
      <c r="C60" s="51"/>
      <c r="D60" s="51"/>
      <c r="E60" s="51"/>
      <c r="F60" s="51">
        <f>9.4</f>
        <v>9.4</v>
      </c>
      <c r="G60" s="51">
        <f>F60</f>
        <v>9.4</v>
      </c>
      <c r="H60" s="63" t="s">
        <v>195</v>
      </c>
      <c r="I60" s="71"/>
      <c r="J60" s="71"/>
      <c r="K60" s="72"/>
      <c r="L60" s="26" t="s">
        <v>196</v>
      </c>
      <c r="M60" s="26">
        <f>ROUND((38.8*6.5%+(103.8-38.8)*6%+(163.9-103.8)*5.5%+(M49/0.8-163.9)*5%)*0.8,2)</f>
        <v>10.28</v>
      </c>
    </row>
    <row r="61" s="26" customFormat="true" ht="20" customHeight="true" spans="1:11">
      <c r="A61" s="56">
        <v>12</v>
      </c>
      <c r="B61" s="50" t="s">
        <v>109</v>
      </c>
      <c r="C61" s="51"/>
      <c r="D61" s="51"/>
      <c r="E61" s="51"/>
      <c r="F61" s="51">
        <f>((500*4.9+500*4.4+4000*3.8)/1000+(G7-5000)*3.3/1000)*0.8</f>
        <v>25.40512</v>
      </c>
      <c r="G61" s="51">
        <f>F61</f>
        <v>25.40512</v>
      </c>
      <c r="H61" s="63" t="s">
        <v>201</v>
      </c>
      <c r="I61" s="71"/>
      <c r="J61" s="71"/>
      <c r="K61" s="72"/>
    </row>
    <row r="62" s="26" customFormat="true" ht="20" customHeight="true" spans="1:11">
      <c r="A62" s="56">
        <v>13</v>
      </c>
      <c r="B62" s="50" t="s">
        <v>111</v>
      </c>
      <c r="C62" s="51"/>
      <c r="D62" s="51"/>
      <c r="E62" s="51"/>
      <c r="F62" s="51"/>
      <c r="G62" s="51">
        <f>SUM(F63:F65)</f>
        <v>58.67046392</v>
      </c>
      <c r="H62" s="62"/>
      <c r="I62" s="71"/>
      <c r="J62" s="71"/>
      <c r="K62" s="72"/>
    </row>
    <row r="63" s="26" customFormat="true" ht="20" customHeight="true" spans="1:18">
      <c r="A63" s="52">
        <v>13.1</v>
      </c>
      <c r="B63" s="50" t="s">
        <v>112</v>
      </c>
      <c r="C63" s="51"/>
      <c r="D63" s="51"/>
      <c r="E63" s="51"/>
      <c r="F63" s="51">
        <f>38</f>
        <v>38</v>
      </c>
      <c r="G63" s="51">
        <f>F63</f>
        <v>38</v>
      </c>
      <c r="H63" s="63" t="s">
        <v>195</v>
      </c>
      <c r="I63" s="71"/>
      <c r="J63" s="71"/>
      <c r="K63" s="72"/>
      <c r="L63" s="26" t="s">
        <v>202</v>
      </c>
      <c r="M63" s="77">
        <f>ROUND((30+(52-30)*(G7/10000-0.5)/(1-0.5)+30+(60-30)*(G7/10000-0.5)/(1-0.5))*0.5,2)</f>
        <v>48.76</v>
      </c>
      <c r="N63" s="77"/>
      <c r="O63" s="77"/>
      <c r="P63" s="77"/>
      <c r="Q63" s="77"/>
      <c r="R63" s="77"/>
    </row>
    <row r="64" s="25" customFormat="true" ht="20" customHeight="true" spans="1:18">
      <c r="A64" s="58">
        <v>13.2</v>
      </c>
      <c r="B64" s="47" t="s">
        <v>113</v>
      </c>
      <c r="C64" s="48"/>
      <c r="D64" s="48"/>
      <c r="E64" s="48"/>
      <c r="F64" s="48">
        <f>(10+(G7/10000-0.5)/(1-0.5)*(18-10))*0.5</f>
        <v>7.8864</v>
      </c>
      <c r="G64" s="51">
        <f>F64</f>
        <v>7.8864</v>
      </c>
      <c r="H64" s="63" t="s">
        <v>203</v>
      </c>
      <c r="I64" s="71"/>
      <c r="J64" s="71"/>
      <c r="K64" s="72"/>
      <c r="L64" s="70"/>
      <c r="M64" s="70"/>
      <c r="N64" s="70"/>
      <c r="O64" s="70"/>
      <c r="P64" s="70"/>
      <c r="Q64" s="70"/>
      <c r="R64" s="70"/>
    </row>
    <row r="65" s="25" customFormat="true" ht="20" customHeight="true" spans="1:18">
      <c r="A65" s="58">
        <v>13.3</v>
      </c>
      <c r="B65" s="47" t="s">
        <v>115</v>
      </c>
      <c r="C65" s="48"/>
      <c r="D65" s="48"/>
      <c r="E65" s="48"/>
      <c r="F65" s="48">
        <f>((52.5+31.7)+(16.04+27.6))*666.67*1.5/10000</f>
        <v>12.78406392</v>
      </c>
      <c r="G65" s="51">
        <f>F65</f>
        <v>12.78406392</v>
      </c>
      <c r="H65" s="63" t="s">
        <v>204</v>
      </c>
      <c r="I65" s="71"/>
      <c r="J65" s="71"/>
      <c r="K65" s="72"/>
      <c r="L65" s="70"/>
      <c r="M65" s="70"/>
      <c r="N65" s="70"/>
      <c r="O65" s="70"/>
      <c r="P65" s="70"/>
      <c r="Q65" s="70"/>
      <c r="R65" s="70"/>
    </row>
    <row r="66" s="26" customFormat="true" ht="20" customHeight="true" spans="1:11">
      <c r="A66" s="56">
        <v>14</v>
      </c>
      <c r="B66" s="50" t="s">
        <v>205</v>
      </c>
      <c r="C66" s="51"/>
      <c r="D66" s="51"/>
      <c r="E66" s="51"/>
      <c r="F66" s="51">
        <f>7</f>
        <v>7</v>
      </c>
      <c r="G66" s="51">
        <f t="shared" ref="G66:G78" si="8">F66</f>
        <v>7</v>
      </c>
      <c r="H66" s="63" t="s">
        <v>195</v>
      </c>
      <c r="I66" s="71"/>
      <c r="J66" s="71"/>
      <c r="K66" s="72"/>
    </row>
    <row r="67" s="26" customFormat="true" ht="20" customHeight="true" spans="1:11">
      <c r="A67" s="56">
        <v>15</v>
      </c>
      <c r="B67" s="50" t="s">
        <v>118</v>
      </c>
      <c r="C67" s="51"/>
      <c r="D67" s="51"/>
      <c r="E67" s="51"/>
      <c r="F67" s="51">
        <f>40</f>
        <v>40</v>
      </c>
      <c r="G67" s="51">
        <f t="shared" si="8"/>
        <v>40</v>
      </c>
      <c r="H67" s="63" t="s">
        <v>195</v>
      </c>
      <c r="I67" s="71"/>
      <c r="J67" s="71"/>
      <c r="K67" s="72"/>
    </row>
    <row r="68" s="26" customFormat="true" ht="20" customHeight="true" spans="1:11">
      <c r="A68" s="56">
        <v>16</v>
      </c>
      <c r="B68" s="50" t="s">
        <v>119</v>
      </c>
      <c r="C68" s="51"/>
      <c r="D68" s="51"/>
      <c r="E68" s="51"/>
      <c r="F68" s="51">
        <f>G7*0.7%</f>
        <v>60.256</v>
      </c>
      <c r="G68" s="51">
        <f t="shared" si="8"/>
        <v>60.256</v>
      </c>
      <c r="H68" s="63" t="s">
        <v>206</v>
      </c>
      <c r="I68" s="71"/>
      <c r="J68" s="71"/>
      <c r="K68" s="72"/>
    </row>
    <row r="69" s="26" customFormat="true" ht="20" customHeight="true" spans="1:11">
      <c r="A69" s="56">
        <v>17</v>
      </c>
      <c r="B69" s="78" t="s">
        <v>207</v>
      </c>
      <c r="C69" s="79"/>
      <c r="D69" s="79"/>
      <c r="E69" s="79"/>
      <c r="F69" s="79">
        <v>0</v>
      </c>
      <c r="G69" s="79">
        <f t="shared" si="8"/>
        <v>0</v>
      </c>
      <c r="H69" s="83" t="s">
        <v>208</v>
      </c>
      <c r="I69" s="86"/>
      <c r="J69" s="86"/>
      <c r="K69" s="87"/>
    </row>
    <row r="70" s="26" customFormat="true" ht="20" customHeight="true" spans="1:11">
      <c r="A70" s="56">
        <v>18</v>
      </c>
      <c r="B70" s="80" t="s">
        <v>209</v>
      </c>
      <c r="C70" s="79"/>
      <c r="D70" s="79"/>
      <c r="E70" s="79"/>
      <c r="F70" s="79">
        <v>0</v>
      </c>
      <c r="G70" s="79">
        <f t="shared" si="8"/>
        <v>0</v>
      </c>
      <c r="H70" s="83" t="s">
        <v>208</v>
      </c>
      <c r="I70" s="86"/>
      <c r="J70" s="86"/>
      <c r="K70" s="87"/>
    </row>
    <row r="71" s="25" customFormat="true" ht="20" customHeight="true" spans="1:11">
      <c r="A71" s="46">
        <v>19</v>
      </c>
      <c r="B71" s="47" t="s">
        <v>125</v>
      </c>
      <c r="C71" s="48"/>
      <c r="D71" s="48"/>
      <c r="E71" s="48"/>
      <c r="F71" s="48">
        <v>3</v>
      </c>
      <c r="G71" s="48">
        <f t="shared" si="8"/>
        <v>3</v>
      </c>
      <c r="H71" s="63" t="s">
        <v>210</v>
      </c>
      <c r="I71" s="71"/>
      <c r="J71" s="71"/>
      <c r="K71" s="72"/>
    </row>
    <row r="72" s="25" customFormat="true" ht="20" customHeight="true" spans="1:11">
      <c r="A72" s="46">
        <v>20</v>
      </c>
      <c r="B72" s="47" t="s">
        <v>126</v>
      </c>
      <c r="C72" s="48"/>
      <c r="D72" s="48"/>
      <c r="E72" s="48"/>
      <c r="F72" s="84">
        <f>G80*0.25%*0.6</f>
        <v>51.84774</v>
      </c>
      <c r="G72" s="48">
        <f t="shared" si="8"/>
        <v>51.84774</v>
      </c>
      <c r="H72" s="63" t="s">
        <v>211</v>
      </c>
      <c r="I72" s="71"/>
      <c r="J72" s="71"/>
      <c r="K72" s="72"/>
    </row>
    <row r="73" s="25" customFormat="true" ht="20" customHeight="true" spans="1:11">
      <c r="A73" s="46">
        <v>21</v>
      </c>
      <c r="B73" s="50" t="s">
        <v>128</v>
      </c>
      <c r="C73" s="51"/>
      <c r="D73" s="51"/>
      <c r="E73" s="51"/>
      <c r="F73" s="51">
        <f>18</f>
        <v>18</v>
      </c>
      <c r="G73" s="51">
        <f t="shared" si="8"/>
        <v>18</v>
      </c>
      <c r="H73" s="63" t="s">
        <v>195</v>
      </c>
      <c r="I73" s="71"/>
      <c r="J73" s="71"/>
      <c r="K73" s="72"/>
    </row>
    <row r="74" s="25" customFormat="true" ht="20" customHeight="true" spans="1:11">
      <c r="A74" s="46">
        <v>22</v>
      </c>
      <c r="B74" s="47" t="s">
        <v>129</v>
      </c>
      <c r="C74" s="48"/>
      <c r="D74" s="48"/>
      <c r="E74" s="48"/>
      <c r="F74" s="48">
        <f>(1000*10%+(O47-1000)*5%)*2*3.45%*0</f>
        <v>0</v>
      </c>
      <c r="G74" s="48">
        <f t="shared" si="8"/>
        <v>0</v>
      </c>
      <c r="H74" s="63" t="s">
        <v>212</v>
      </c>
      <c r="I74" s="71"/>
      <c r="J74" s="71"/>
      <c r="K74" s="72"/>
    </row>
    <row r="75" s="25" customFormat="true" ht="20" customHeight="true" spans="1:11">
      <c r="A75" s="46">
        <v>23</v>
      </c>
      <c r="B75" s="47" t="s">
        <v>213</v>
      </c>
      <c r="C75" s="48"/>
      <c r="D75" s="48"/>
      <c r="E75" s="48"/>
      <c r="F75" s="84">
        <f>G80*0.25%*0.8</f>
        <v>69.13032</v>
      </c>
      <c r="G75" s="48">
        <f t="shared" si="8"/>
        <v>69.13032</v>
      </c>
      <c r="H75" s="63" t="s">
        <v>214</v>
      </c>
      <c r="I75" s="71"/>
      <c r="J75" s="71"/>
      <c r="K75" s="72"/>
    </row>
    <row r="76" s="25" customFormat="true" ht="20" customHeight="true" spans="1:16">
      <c r="A76" s="81" t="s">
        <v>215</v>
      </c>
      <c r="B76" s="39" t="s">
        <v>148</v>
      </c>
      <c r="C76" s="48"/>
      <c r="D76" s="48"/>
      <c r="E76" s="48"/>
      <c r="F76" s="33">
        <f>F77</f>
        <v>479.0785</v>
      </c>
      <c r="G76" s="33">
        <f t="shared" si="8"/>
        <v>479.0785</v>
      </c>
      <c r="H76" s="62"/>
      <c r="I76" s="71"/>
      <c r="J76" s="71"/>
      <c r="K76" s="72"/>
      <c r="P76" s="23"/>
    </row>
    <row r="77" s="25" customFormat="true" ht="20" customHeight="true" spans="1:14">
      <c r="A77" s="82">
        <v>1</v>
      </c>
      <c r="B77" s="47" t="s">
        <v>216</v>
      </c>
      <c r="C77" s="48"/>
      <c r="D77" s="48"/>
      <c r="E77" s="48"/>
      <c r="F77" s="48">
        <f>(G7+F33-G34)*0.05</f>
        <v>479.0785</v>
      </c>
      <c r="G77" s="48">
        <f t="shared" si="8"/>
        <v>479.0785</v>
      </c>
      <c r="H77" s="62" t="s">
        <v>217</v>
      </c>
      <c r="I77" s="71"/>
      <c r="J77" s="71"/>
      <c r="K77" s="72"/>
      <c r="L77" s="23"/>
      <c r="M77" s="23"/>
      <c r="N77" s="23"/>
    </row>
    <row r="78" s="23" customFormat="true" ht="24" customHeight="true" spans="1:11">
      <c r="A78" s="36" t="s">
        <v>218</v>
      </c>
      <c r="B78" s="39" t="s">
        <v>219</v>
      </c>
      <c r="C78" s="33"/>
      <c r="D78" s="33"/>
      <c r="E78" s="33"/>
      <c r="F78" s="33"/>
      <c r="G78" s="33">
        <f>G76+G33+G7</f>
        <v>34565.15952668</v>
      </c>
      <c r="H78" s="61"/>
      <c r="I78" s="68"/>
      <c r="J78" s="68"/>
      <c r="K78" s="69"/>
    </row>
    <row r="80" spans="6:7">
      <c r="F80" s="39" t="s">
        <v>220</v>
      </c>
      <c r="G80" s="85">
        <v>34565.16</v>
      </c>
    </row>
  </sheetData>
  <mergeCells count="54">
    <mergeCell ref="A3:K3"/>
    <mergeCell ref="C5:G5"/>
    <mergeCell ref="H5:J5"/>
    <mergeCell ref="H33:K3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49:K49"/>
    <mergeCell ref="H50:K50"/>
    <mergeCell ref="H51:K51"/>
    <mergeCell ref="H52:K52"/>
    <mergeCell ref="H53:K53"/>
    <mergeCell ref="H54:K54"/>
    <mergeCell ref="H55:K55"/>
    <mergeCell ref="H56:K56"/>
    <mergeCell ref="H57:K57"/>
    <mergeCell ref="H58:K58"/>
    <mergeCell ref="H59:K59"/>
    <mergeCell ref="H60:K60"/>
    <mergeCell ref="H61:K61"/>
    <mergeCell ref="H62:K62"/>
    <mergeCell ref="H63:K63"/>
    <mergeCell ref="H64:K64"/>
    <mergeCell ref="H65:K65"/>
    <mergeCell ref="H66:K66"/>
    <mergeCell ref="H67:K67"/>
    <mergeCell ref="H68:K68"/>
    <mergeCell ref="H69:K69"/>
    <mergeCell ref="H70:K70"/>
    <mergeCell ref="H71:K71"/>
    <mergeCell ref="H72:K72"/>
    <mergeCell ref="H73:K73"/>
    <mergeCell ref="H74:K74"/>
    <mergeCell ref="H75:K75"/>
    <mergeCell ref="H76:K76"/>
    <mergeCell ref="H77:K77"/>
    <mergeCell ref="C78:F78"/>
    <mergeCell ref="H78:K78"/>
    <mergeCell ref="A5:A6"/>
    <mergeCell ref="B5:B6"/>
    <mergeCell ref="K5:K6"/>
    <mergeCell ref="A1:K2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85"/>
  <sheetViews>
    <sheetView tabSelected="1" view="pageBreakPreview" zoomScaleNormal="85" zoomScaleSheetLayoutView="100" workbookViewId="0">
      <selection activeCell="O78" sqref="O78"/>
    </sheetView>
  </sheetViews>
  <sheetFormatPr defaultColWidth="9" defaultRowHeight="13.5"/>
  <cols>
    <col min="2" max="2" width="30.125" customWidth="true"/>
    <col min="3" max="3" width="5.625" customWidth="true"/>
    <col min="6" max="6" width="9" customWidth="true"/>
    <col min="7" max="7" width="10.375"/>
    <col min="8" max="8" width="11.5"/>
    <col min="9" max="9" width="8.375" customWidth="true"/>
    <col min="12" max="12" width="23" customWidth="true"/>
    <col min="15" max="15" width="12.625"/>
  </cols>
  <sheetData>
    <row r="2" spans="1:12">
      <c r="A2" s="1" t="s">
        <v>137</v>
      </c>
      <c r="B2" s="1" t="s">
        <v>6</v>
      </c>
      <c r="C2" s="2" t="s">
        <v>20</v>
      </c>
      <c r="D2" s="3" t="s">
        <v>221</v>
      </c>
      <c r="E2" s="13"/>
      <c r="F2" s="3"/>
      <c r="G2" s="3" t="s">
        <v>222</v>
      </c>
      <c r="H2" s="3"/>
      <c r="I2" s="3"/>
      <c r="J2" s="15" t="s">
        <v>223</v>
      </c>
      <c r="K2" s="16" t="s">
        <v>224</v>
      </c>
      <c r="L2" s="2" t="s">
        <v>9</v>
      </c>
    </row>
    <row r="3" ht="24" spans="1:12">
      <c r="A3" s="1"/>
      <c r="B3" s="1"/>
      <c r="C3" s="2"/>
      <c r="D3" s="3" t="s">
        <v>225</v>
      </c>
      <c r="E3" s="13" t="s">
        <v>226</v>
      </c>
      <c r="F3" s="3" t="s">
        <v>227</v>
      </c>
      <c r="G3" s="3" t="s">
        <v>225</v>
      </c>
      <c r="H3" s="3" t="s">
        <v>226</v>
      </c>
      <c r="I3" s="3" t="s">
        <v>227</v>
      </c>
      <c r="J3" s="15"/>
      <c r="K3" s="16"/>
      <c r="L3" s="2"/>
    </row>
    <row r="4" spans="1:12">
      <c r="A4" s="4" t="str">
        <f>审定概算汇总表!A7</f>
        <v>一</v>
      </c>
      <c r="B4" s="4" t="str">
        <f>审定概算汇总表!B7</f>
        <v>工程费用</v>
      </c>
      <c r="C4" s="5" t="str">
        <f>'修改后送审概算汇总表（未更新，不需要）'!K6</f>
        <v>m2</v>
      </c>
      <c r="D4" s="5">
        <f>D6+D18+D28+D29</f>
        <v>61698.686</v>
      </c>
      <c r="E4" s="5">
        <f>F4/D4*10000</f>
        <v>1491.20493408887</v>
      </c>
      <c r="F4" s="14">
        <f>F5+F17+F28+F29</f>
        <v>9200.538499</v>
      </c>
      <c r="G4" s="14">
        <f>审定概算汇总表!I7</f>
        <v>61698.686</v>
      </c>
      <c r="H4" s="14">
        <f>审定概算汇总表!J7</f>
        <v>1395.16747568984</v>
      </c>
      <c r="I4" s="14">
        <f>审定概算汇总表!G7</f>
        <v>8608</v>
      </c>
      <c r="J4" s="14">
        <f>I4-F4</f>
        <v>-592.538499</v>
      </c>
      <c r="K4" s="17">
        <f>J4/F4</f>
        <v>-0.0644025889424193</v>
      </c>
      <c r="L4" s="11"/>
    </row>
    <row r="5" spans="1:12">
      <c r="A5" s="6">
        <f>审定概算汇总表!A8</f>
        <v>1</v>
      </c>
      <c r="B5" s="4" t="str">
        <f>审定概算汇总表!B8</f>
        <v>临川路</v>
      </c>
      <c r="C5" s="5" t="str">
        <f>'修改后送审概算汇总表（未更新，不需要）'!K7</f>
        <v>m2</v>
      </c>
      <c r="D5" s="7">
        <f>'修改后送审概算汇总表（未更新，不需要）'!L7</f>
        <v>26150.992</v>
      </c>
      <c r="E5" s="7">
        <f>'修改后送审概算汇总表（未更新，不需要）'!M7</f>
        <v>1632.09015436202</v>
      </c>
      <c r="F5" s="10">
        <f>'修改后送审概算汇总表（未更新，不需要）'!J7</f>
        <v>4268.077657</v>
      </c>
      <c r="G5" s="10">
        <f>审定概算汇总表!I8</f>
        <v>26150.992</v>
      </c>
      <c r="H5" s="10">
        <f>审定概算汇总表!J8</f>
        <v>1510.5239602383</v>
      </c>
      <c r="I5" s="10">
        <f>审定概算汇总表!G8</f>
        <v>3950.17</v>
      </c>
      <c r="J5" s="10">
        <f t="shared" ref="J5:J32" si="0">I5-F5</f>
        <v>-317.907657</v>
      </c>
      <c r="K5" s="18">
        <f t="shared" ref="K5:K32" si="1">J5/F5</f>
        <v>-0.0744849748641768</v>
      </c>
      <c r="L5" s="12"/>
    </row>
    <row r="6" spans="1:12">
      <c r="A6" s="8">
        <f>审定概算汇总表!A9</f>
        <v>1.1</v>
      </c>
      <c r="B6" s="9" t="str">
        <f>审定概算汇总表!B9</f>
        <v>道路工程</v>
      </c>
      <c r="C6" s="5" t="str">
        <f>'修改后送审概算汇总表（未更新，不需要）'!K8</f>
        <v>m2</v>
      </c>
      <c r="D6" s="7">
        <f>'修改后送审概算汇总表（未更新，不需要）'!L8</f>
        <v>26150.992</v>
      </c>
      <c r="E6" s="7">
        <f>'修改后送审概算汇总表（未更新，不需要）'!M8</f>
        <v>651.32382473292</v>
      </c>
      <c r="F6" s="10">
        <f>'修改后送审概算汇总表（未更新，不需要）'!J8</f>
        <v>1703.276413</v>
      </c>
      <c r="G6" s="10">
        <f>审定概算汇总表!I9</f>
        <v>26150.992</v>
      </c>
      <c r="H6" s="10">
        <f>审定概算汇总表!J9</f>
        <v>617.59798634025</v>
      </c>
      <c r="I6" s="10">
        <f>审定概算汇总表!G9</f>
        <v>1615.08</v>
      </c>
      <c r="J6" s="10">
        <f t="shared" si="0"/>
        <v>-88.1964130000001</v>
      </c>
      <c r="K6" s="18">
        <f t="shared" si="1"/>
        <v>-0.0517804463954613</v>
      </c>
      <c r="L6" s="12"/>
    </row>
    <row r="7" spans="1:12">
      <c r="A7" s="8">
        <f>审定概算汇总表!A10</f>
        <v>1.2</v>
      </c>
      <c r="B7" s="9" t="str">
        <f>审定概算汇总表!B10</f>
        <v>交通工程</v>
      </c>
      <c r="C7" s="5" t="str">
        <f>'修改后送审概算汇总表（未更新，不需要）'!K9</f>
        <v>m2</v>
      </c>
      <c r="D7" s="7">
        <f>'修改后送审概算汇总表（未更新，不需要）'!L9</f>
        <v>26150.992</v>
      </c>
      <c r="E7" s="7">
        <f>'修改后送审概算汇总表（未更新，不需要）'!M9</f>
        <v>160.670350478483</v>
      </c>
      <c r="F7" s="10">
        <f>'修改后送审概算汇总表（未更新，不需要）'!J9</f>
        <v>420.168905</v>
      </c>
      <c r="G7" s="10">
        <f>审定概算汇总表!I10</f>
        <v>26150.992</v>
      </c>
      <c r="H7" s="10">
        <f>审定概算汇总表!J10</f>
        <v>156.418540451544</v>
      </c>
      <c r="I7" s="10">
        <f>审定概算汇总表!G10</f>
        <v>409.05</v>
      </c>
      <c r="J7" s="10">
        <f t="shared" si="0"/>
        <v>-11.118905</v>
      </c>
      <c r="K7" s="18">
        <f t="shared" si="1"/>
        <v>-0.0264629411355416</v>
      </c>
      <c r="L7" s="12"/>
    </row>
    <row r="8" spans="1:12">
      <c r="A8" s="8">
        <f>审定概算汇总表!A11</f>
        <v>1.3</v>
      </c>
      <c r="B8" s="9" t="str">
        <f>审定概算汇总表!B11</f>
        <v>涵洞工程</v>
      </c>
      <c r="C8" s="5" t="str">
        <f>'修改后送审概算汇总表（未更新，不需要）'!K10</f>
        <v>m2</v>
      </c>
      <c r="D8" s="7">
        <f>'修改后送审概算汇总表（未更新，不需要）'!L10</f>
        <v>26150.992</v>
      </c>
      <c r="E8" s="7">
        <f>'修改后送审概算汇总表（未更新，不需要）'!M10</f>
        <v>21.7659548058445</v>
      </c>
      <c r="F8" s="10">
        <f>'修改后送审概算汇总表（未更新，不需要）'!J10</f>
        <v>56.920131</v>
      </c>
      <c r="G8" s="10">
        <f>审定概算汇总表!I11</f>
        <v>26150.992</v>
      </c>
      <c r="H8" s="10">
        <f>审定概算汇总表!J11</f>
        <v>21.4638129215137</v>
      </c>
      <c r="I8" s="10">
        <f>审定概算汇总表!G11</f>
        <v>56.13</v>
      </c>
      <c r="J8" s="10">
        <f t="shared" si="0"/>
        <v>-0.790130999999995</v>
      </c>
      <c r="K8" s="18">
        <f t="shared" si="1"/>
        <v>-0.0138813981296001</v>
      </c>
      <c r="L8" s="12"/>
    </row>
    <row r="9" spans="1:12">
      <c r="A9" s="8">
        <f>审定概算汇总表!A12</f>
        <v>1.4</v>
      </c>
      <c r="B9" s="9" t="str">
        <f>审定概算汇总表!B12</f>
        <v>给水工程</v>
      </c>
      <c r="C9" s="5" t="str">
        <f>'修改后送审概算汇总表（未更新，不需要）'!K11</f>
        <v>m2</v>
      </c>
      <c r="D9" s="7">
        <f>'修改后送审概算汇总表（未更新，不需要）'!L11</f>
        <v>26150.992</v>
      </c>
      <c r="E9" s="7">
        <f>'修改后送审概算汇总表（未更新，不需要）'!M11</f>
        <v>140.228884625103</v>
      </c>
      <c r="F9" s="10">
        <f>'修改后送审概算汇总表（未更新，不需要）'!J11</f>
        <v>366.712444</v>
      </c>
      <c r="G9" s="10">
        <f>审定概算汇总表!I12</f>
        <v>26150.992</v>
      </c>
      <c r="H9" s="10">
        <f>审定概算汇总表!J12</f>
        <v>125.306909963492</v>
      </c>
      <c r="I9" s="10">
        <f>审定概算汇总表!G12</f>
        <v>327.69</v>
      </c>
      <c r="J9" s="10">
        <f t="shared" si="0"/>
        <v>-39.022444</v>
      </c>
      <c r="K9" s="18">
        <f t="shared" si="1"/>
        <v>-0.106411562079415</v>
      </c>
      <c r="L9" s="12"/>
    </row>
    <row r="10" spans="1:12">
      <c r="A10" s="8">
        <f>审定概算汇总表!A13</f>
        <v>1.5</v>
      </c>
      <c r="B10" s="9" t="str">
        <f>审定概算汇总表!B13</f>
        <v>再生水工程</v>
      </c>
      <c r="C10" s="5" t="str">
        <f>'修改后送审概算汇总表（未更新，不需要）'!K12</f>
        <v>m2</v>
      </c>
      <c r="D10" s="7">
        <f>'修改后送审概算汇总表（未更新，不需要）'!L12</f>
        <v>26150.992</v>
      </c>
      <c r="E10" s="7">
        <f>'修改后送审概算汇总表（未更新，不需要）'!M12</f>
        <v>44.3063177106245</v>
      </c>
      <c r="F10" s="10">
        <f>'修改后送审概算汇总表（未更新，不需要）'!J12</f>
        <v>115.865416</v>
      </c>
      <c r="G10" s="10">
        <f>审定概算汇总表!I13</f>
        <v>26150.992</v>
      </c>
      <c r="H10" s="10">
        <f>审定概算汇总表!J13</f>
        <v>39.0272001918704</v>
      </c>
      <c r="I10" s="10">
        <f>审定概算汇总表!G13</f>
        <v>102.06</v>
      </c>
      <c r="J10" s="10">
        <f t="shared" si="0"/>
        <v>-13.805416</v>
      </c>
      <c r="K10" s="18">
        <f t="shared" si="1"/>
        <v>-0.119150446065804</v>
      </c>
      <c r="L10" s="12"/>
    </row>
    <row r="11" spans="1:12">
      <c r="A11" s="8">
        <f>审定概算汇总表!A14</f>
        <v>1.6</v>
      </c>
      <c r="B11" s="9" t="str">
        <f>审定概算汇总表!B14</f>
        <v>雨水工程</v>
      </c>
      <c r="C11" s="5" t="str">
        <f>'修改后送审概算汇总表（未更新，不需要）'!K13</f>
        <v>m2</v>
      </c>
      <c r="D11" s="7">
        <f>'修改后送审概算汇总表（未更新，不需要）'!L13</f>
        <v>26150.992</v>
      </c>
      <c r="E11" s="7">
        <f>'修改后送审概算汇总表（未更新，不需要）'!M13</f>
        <v>161.421133087418</v>
      </c>
      <c r="F11" s="10">
        <f>'修改后送审概算汇总表（未更新，不需要）'!J13</f>
        <v>422.132276</v>
      </c>
      <c r="G11" s="10">
        <f>审定概算汇总表!I14</f>
        <v>26150.992</v>
      </c>
      <c r="H11" s="10">
        <f>审定概算汇总表!J14</f>
        <v>136.553137257661</v>
      </c>
      <c r="I11" s="10">
        <f>审定概算汇总表!G14</f>
        <v>357.1</v>
      </c>
      <c r="J11" s="10">
        <f t="shared" si="0"/>
        <v>-65.032276</v>
      </c>
      <c r="K11" s="18">
        <f t="shared" si="1"/>
        <v>-0.154056630343992</v>
      </c>
      <c r="L11" s="12"/>
    </row>
    <row r="12" spans="1:12">
      <c r="A12" s="8">
        <f>审定概算汇总表!A15</f>
        <v>1.7</v>
      </c>
      <c r="B12" s="9" t="str">
        <f>审定概算汇总表!B15</f>
        <v>污水工程</v>
      </c>
      <c r="C12" s="5" t="str">
        <f>'修改后送审概算汇总表（未更新，不需要）'!K14</f>
        <v>m2</v>
      </c>
      <c r="D12" s="7">
        <f>'修改后送审概算汇总表（未更新，不需要）'!L14</f>
        <v>26150.992</v>
      </c>
      <c r="E12" s="7">
        <f>'修改后送审概算汇总表（未更新，不需要）'!M14</f>
        <v>143.176575863738</v>
      </c>
      <c r="F12" s="10">
        <f>'修改后送审概算汇总表（未更新，不需要）'!J14</f>
        <v>374.420949</v>
      </c>
      <c r="G12" s="10">
        <f>审定概算汇总表!I15</f>
        <v>26150.992</v>
      </c>
      <c r="H12" s="10">
        <f>审定概算汇总表!J15</f>
        <v>117.605481275815</v>
      </c>
      <c r="I12" s="10">
        <f>审定概算汇总表!G15</f>
        <v>307.55</v>
      </c>
      <c r="J12" s="10">
        <f t="shared" si="0"/>
        <v>-66.870949</v>
      </c>
      <c r="K12" s="18">
        <f t="shared" si="1"/>
        <v>-0.178598310747832</v>
      </c>
      <c r="L12" s="12"/>
    </row>
    <row r="13" spans="1:12">
      <c r="A13" s="8">
        <f>审定概算汇总表!A16</f>
        <v>1.8</v>
      </c>
      <c r="B13" s="9" t="str">
        <f>审定概算汇总表!B16</f>
        <v>电力工程</v>
      </c>
      <c r="C13" s="5" t="str">
        <f>'修改后送审概算汇总表（未更新，不需要）'!K15</f>
        <v>m2</v>
      </c>
      <c r="D13" s="7">
        <f>'修改后送审概算汇总表（未更新，不需要）'!L15</f>
        <v>26150.992</v>
      </c>
      <c r="E13" s="7">
        <f>'修改后送审概算汇总表（未更新，不需要）'!M15</f>
        <v>136.893520903528</v>
      </c>
      <c r="F13" s="10">
        <f>'修改后送审概算汇总表（未更新，不需要）'!J15</f>
        <v>357.990137</v>
      </c>
      <c r="G13" s="10">
        <f>审定概算汇总表!I16</f>
        <v>26150.992</v>
      </c>
      <c r="H13" s="10">
        <f>审定概算汇总表!J16</f>
        <v>134.817065448225</v>
      </c>
      <c r="I13" s="10">
        <f>审定概算汇总表!G16</f>
        <v>352.56</v>
      </c>
      <c r="J13" s="10">
        <f t="shared" si="0"/>
        <v>-5.430137</v>
      </c>
      <c r="K13" s="18">
        <f t="shared" si="1"/>
        <v>-0.0151683983405386</v>
      </c>
      <c r="L13" s="12"/>
    </row>
    <row r="14" spans="1:12">
      <c r="A14" s="8">
        <f>审定概算汇总表!A17</f>
        <v>1.9</v>
      </c>
      <c r="B14" s="9" t="str">
        <f>审定概算汇总表!B17</f>
        <v>通信工程</v>
      </c>
      <c r="C14" s="5" t="str">
        <f>'修改后送审概算汇总表（未更新，不需要）'!K16</f>
        <v>m2</v>
      </c>
      <c r="D14" s="7">
        <f>'修改后送审概算汇总表（未更新，不需要）'!L16</f>
        <v>26150.992</v>
      </c>
      <c r="E14" s="7">
        <f>'修改后送审概算汇总表（未更新，不需要）'!M16</f>
        <v>48.5305023992971</v>
      </c>
      <c r="F14" s="10">
        <f>'修改后送审概算汇总表（未更新，不需要）'!J16</f>
        <v>126.912078</v>
      </c>
      <c r="G14" s="10">
        <f>审定概算汇总表!I17</f>
        <v>26150.992</v>
      </c>
      <c r="H14" s="10">
        <f>审定概算汇总表!J17</f>
        <v>46.1626847654575</v>
      </c>
      <c r="I14" s="10">
        <f>审定概算汇总表!G17</f>
        <v>120.72</v>
      </c>
      <c r="J14" s="10">
        <f t="shared" si="0"/>
        <v>-6.192078</v>
      </c>
      <c r="K14" s="18">
        <f t="shared" si="1"/>
        <v>-0.0487902971693521</v>
      </c>
      <c r="L14" s="12"/>
    </row>
    <row r="15" spans="1:12">
      <c r="A15" s="8">
        <f>审定概算汇总表!A18</f>
        <v>1.1</v>
      </c>
      <c r="B15" s="9" t="str">
        <f>审定概算汇总表!B18</f>
        <v>照明工程</v>
      </c>
      <c r="C15" s="5" t="str">
        <f>'修改后送审概算汇总表（未更新，不需要）'!K17</f>
        <v>m2</v>
      </c>
      <c r="D15" s="7">
        <f>'修改后送审概算汇总表（未更新，不需要）'!L17</f>
        <v>26150.992</v>
      </c>
      <c r="E15" s="7">
        <f>'修改后送审概算汇总表（未更新，不需要）'!M17</f>
        <v>72.0031274530618</v>
      </c>
      <c r="F15" s="10">
        <f>'修改后送审概算汇总表（未更新，不需要）'!J17</f>
        <v>188.295321</v>
      </c>
      <c r="G15" s="10">
        <f>审定概算汇总表!I18</f>
        <v>26150.992</v>
      </c>
      <c r="H15" s="10">
        <f>审定概算汇总表!J18</f>
        <v>68.8998719436724</v>
      </c>
      <c r="I15" s="10">
        <f>审定概算汇总表!G18</f>
        <v>180.18</v>
      </c>
      <c r="J15" s="10">
        <f t="shared" si="0"/>
        <v>-8.11532099999999</v>
      </c>
      <c r="K15" s="18">
        <f t="shared" si="1"/>
        <v>-0.0430988988834194</v>
      </c>
      <c r="L15" s="12"/>
    </row>
    <row r="16" spans="1:12">
      <c r="A16" s="8">
        <f>审定概算汇总表!A19</f>
        <v>1.11</v>
      </c>
      <c r="B16" s="9" t="str">
        <f>审定概算汇总表!B19</f>
        <v>绿化工程</v>
      </c>
      <c r="C16" s="5" t="str">
        <f>'修改后送审概算汇总表（未更新，不需要）'!K18</f>
        <v>m2</v>
      </c>
      <c r="D16" s="7">
        <f>'修改后送审概算汇总表（未更新，不需要）'!L18</f>
        <v>26150.992</v>
      </c>
      <c r="E16" s="7">
        <f>'修改后送审概算汇总表（未更新，不需要）'!M18</f>
        <v>51.7699623020037</v>
      </c>
      <c r="F16" s="10">
        <f>'修改后送审概算汇总表（未更新，不需要）'!J18</f>
        <v>135.383587</v>
      </c>
      <c r="G16" s="10">
        <f>审定概算汇总表!I19</f>
        <v>26150.992</v>
      </c>
      <c r="H16" s="10">
        <f>审定概算汇总表!J19</f>
        <v>46.6712696787946</v>
      </c>
      <c r="I16" s="10">
        <f>审定概算汇总表!G19</f>
        <v>122.05</v>
      </c>
      <c r="J16" s="10">
        <f t="shared" si="0"/>
        <v>-13.333587</v>
      </c>
      <c r="K16" s="18">
        <f t="shared" si="1"/>
        <v>-0.0984874702721535</v>
      </c>
      <c r="L16" s="12"/>
    </row>
    <row r="17" spans="1:12">
      <c r="A17" s="6">
        <f>审定概算汇总表!A20</f>
        <v>2</v>
      </c>
      <c r="B17" s="4" t="str">
        <f>审定概算汇总表!B20</f>
        <v>临春环路南段</v>
      </c>
      <c r="C17" s="5" t="str">
        <f>'修改后送审概算汇总表（未更新，不需要）'!K19</f>
        <v>m2</v>
      </c>
      <c r="D17" s="5">
        <f>'修改后送审概算汇总表（未更新，不需要）'!L19</f>
        <v>15031.5</v>
      </c>
      <c r="E17" s="5">
        <f>'修改后送审概算汇总表（未更新，不需要）'!M19</f>
        <v>1316.69310381532</v>
      </c>
      <c r="F17" s="14">
        <f>'修改后送审概算汇总表（未更新，不需要）'!J19</f>
        <v>1979.187239</v>
      </c>
      <c r="G17" s="14">
        <f>审定概算汇总表!I20</f>
        <v>15031.5</v>
      </c>
      <c r="H17" s="14">
        <f>审定概算汇总表!J20</f>
        <v>1227.18291587666</v>
      </c>
      <c r="I17" s="14">
        <f>审定概算汇总表!G20</f>
        <v>1844.64</v>
      </c>
      <c r="J17" s="14">
        <f t="shared" si="0"/>
        <v>-134.547239</v>
      </c>
      <c r="K17" s="17">
        <f t="shared" si="1"/>
        <v>-0.0679810562380046</v>
      </c>
      <c r="L17" s="12"/>
    </row>
    <row r="18" spans="1:12">
      <c r="A18" s="8">
        <f>审定概算汇总表!A21</f>
        <v>2.1</v>
      </c>
      <c r="B18" s="9" t="str">
        <f>审定概算汇总表!B21</f>
        <v>道路工程</v>
      </c>
      <c r="C18" s="7" t="str">
        <f>'修改后送审概算汇总表（未更新，不需要）'!K20</f>
        <v>m2</v>
      </c>
      <c r="D18" s="7">
        <f>'修改后送审概算汇总表（未更新，不需要）'!L20</f>
        <v>15031.5</v>
      </c>
      <c r="E18" s="7">
        <f>'修改后送审概算汇总表（未更新，不需要）'!M20</f>
        <v>586.622884608988</v>
      </c>
      <c r="F18" s="10">
        <f>'修改后送审概算汇总表（未更新，不需要）'!J20</f>
        <v>881.782189</v>
      </c>
      <c r="G18" s="10">
        <f>审定概算汇总表!I21</f>
        <v>15031.5</v>
      </c>
      <c r="H18" s="10">
        <f>审定概算汇总表!J21</f>
        <v>564.833848917274</v>
      </c>
      <c r="I18" s="10">
        <f>审定概算汇总表!G21</f>
        <v>849.03</v>
      </c>
      <c r="J18" s="10">
        <f t="shared" si="0"/>
        <v>-32.752189</v>
      </c>
      <c r="K18" s="18">
        <f t="shared" si="1"/>
        <v>-0.0371431736868525</v>
      </c>
      <c r="L18" s="12"/>
    </row>
    <row r="19" spans="1:12">
      <c r="A19" s="8">
        <f>审定概算汇总表!A22</f>
        <v>2.2</v>
      </c>
      <c r="B19" s="9" t="str">
        <f>审定概算汇总表!B22</f>
        <v>交通工程</v>
      </c>
      <c r="C19" s="7" t="str">
        <f>'修改后送审概算汇总表（未更新，不需要）'!K21</f>
        <v>m2</v>
      </c>
      <c r="D19" s="7">
        <f>'修改后送审概算汇总表（未更新，不需要）'!L21</f>
        <v>15031.5</v>
      </c>
      <c r="E19" s="7">
        <f>'修改后送审概算汇总表（未更新，不需要）'!M21</f>
        <v>60.2995409639757</v>
      </c>
      <c r="F19" s="10">
        <f>'修改后送审概算汇总表（未更新，不需要）'!J21</f>
        <v>90.639255</v>
      </c>
      <c r="G19" s="10">
        <f>审定概算汇总表!I22</f>
        <v>15031.5</v>
      </c>
      <c r="H19" s="10">
        <f>审定概算汇总表!J22</f>
        <v>58.4439344044174</v>
      </c>
      <c r="I19" s="10">
        <f>审定概算汇总表!G22</f>
        <v>87.85</v>
      </c>
      <c r="J19" s="10">
        <f t="shared" si="0"/>
        <v>-2.78925500000001</v>
      </c>
      <c r="K19" s="18">
        <f t="shared" si="1"/>
        <v>-0.0307731456971928</v>
      </c>
      <c r="L19" s="12"/>
    </row>
    <row r="20" spans="1:12">
      <c r="A20" s="8">
        <f>审定概算汇总表!A23</f>
        <v>2.3</v>
      </c>
      <c r="B20" s="9" t="str">
        <f>审定概算汇总表!B23</f>
        <v>涵洞工程</v>
      </c>
      <c r="C20" s="7" t="str">
        <f>'修改后送审概算汇总表（未更新，不需要）'!K22</f>
        <v>m2</v>
      </c>
      <c r="D20" s="7">
        <f>'修改后送审概算汇总表（未更新，不需要）'!L22</f>
        <v>15031.5</v>
      </c>
      <c r="E20" s="7">
        <f>'修改后送审概算汇总表（未更新，不需要）'!M22</f>
        <v>35.9216791404717</v>
      </c>
      <c r="F20" s="10">
        <f>'修改后送审概算汇总表（未更新，不需要）'!J22</f>
        <v>53.995672</v>
      </c>
      <c r="G20" s="10">
        <f>审定概算汇总表!I23</f>
        <v>15031.5</v>
      </c>
      <c r="H20" s="10">
        <f>审定概算汇总表!J23</f>
        <v>35.3457738748628</v>
      </c>
      <c r="I20" s="10">
        <f>审定概算汇总表!G23</f>
        <v>53.13</v>
      </c>
      <c r="J20" s="10">
        <f t="shared" si="0"/>
        <v>-0.865671999999996</v>
      </c>
      <c r="K20" s="18">
        <f t="shared" si="1"/>
        <v>-0.0160322479179442</v>
      </c>
      <c r="L20" s="12"/>
    </row>
    <row r="21" spans="1:12">
      <c r="A21" s="8">
        <f>审定概算汇总表!A24</f>
        <v>2.4</v>
      </c>
      <c r="B21" s="9" t="str">
        <f>审定概算汇总表!B24</f>
        <v>给水工程</v>
      </c>
      <c r="C21" s="7" t="str">
        <f>'修改后送审概算汇总表（未更新，不需要）'!K23</f>
        <v>m2</v>
      </c>
      <c r="D21" s="7">
        <f>'修改后送审概算汇总表（未更新，不需要）'!L23</f>
        <v>15031.5</v>
      </c>
      <c r="E21" s="7">
        <f>'修改后送审概算汇总表（未更新，不需要）'!M23</f>
        <v>83.506103183315</v>
      </c>
      <c r="F21" s="10">
        <f>'修改后送审概算汇总表（未更新，不需要）'!J23</f>
        <v>125.522199</v>
      </c>
      <c r="G21" s="10">
        <f>审定概算汇总表!I24</f>
        <v>15031.5</v>
      </c>
      <c r="H21" s="10">
        <f>审定概算汇总表!J24</f>
        <v>74.423710208562</v>
      </c>
      <c r="I21" s="10">
        <f>审定概算汇总表!G24</f>
        <v>111.87</v>
      </c>
      <c r="J21" s="10">
        <f t="shared" si="0"/>
        <v>-13.652199</v>
      </c>
      <c r="K21" s="18">
        <f t="shared" si="1"/>
        <v>-0.108763223627081</v>
      </c>
      <c r="L21" s="12"/>
    </row>
    <row r="22" spans="1:12">
      <c r="A22" s="8">
        <f>审定概算汇总表!A25</f>
        <v>2.5</v>
      </c>
      <c r="B22" s="9" t="str">
        <f>审定概算汇总表!B25</f>
        <v>雨水工程</v>
      </c>
      <c r="C22" s="7" t="str">
        <f>'修改后送审概算汇总表（未更新，不需要）'!K24</f>
        <v>m2</v>
      </c>
      <c r="D22" s="7">
        <f>'修改后送审概算汇总表（未更新，不需要）'!L24</f>
        <v>15031.5</v>
      </c>
      <c r="E22" s="7">
        <f>'修改后送审概算汇总表（未更新，不需要）'!M24</f>
        <v>143.940693876193</v>
      </c>
      <c r="F22" s="10">
        <f>'修改后送审概算汇总表（未更新，不需要）'!J24</f>
        <v>216.364454</v>
      </c>
      <c r="G22" s="10">
        <f>审定概算汇总表!I25</f>
        <v>15031.5</v>
      </c>
      <c r="H22" s="10">
        <f>审定概算汇总表!J25</f>
        <v>126.081894687822</v>
      </c>
      <c r="I22" s="10">
        <f>审定概算汇总表!G25</f>
        <v>189.52</v>
      </c>
      <c r="J22" s="10">
        <f t="shared" si="0"/>
        <v>-26.844454</v>
      </c>
      <c r="K22" s="18">
        <f t="shared" si="1"/>
        <v>-0.124070537020836</v>
      </c>
      <c r="L22" s="12"/>
    </row>
    <row r="23" spans="1:12">
      <c r="A23" s="8">
        <f>审定概算汇总表!A26</f>
        <v>2.6</v>
      </c>
      <c r="B23" s="9" t="str">
        <f>审定概算汇总表!B26</f>
        <v>污水工程</v>
      </c>
      <c r="C23" s="7" t="str">
        <f>'修改后送审概算汇总表（未更新，不需要）'!K25</f>
        <v>m2</v>
      </c>
      <c r="D23" s="7">
        <f>'修改后送审概算汇总表（未更新，不需要）'!L25</f>
        <v>15031.5</v>
      </c>
      <c r="E23" s="7">
        <f>'修改后送审概算汇总表（未更新，不需要）'!M25</f>
        <v>137.718879685993</v>
      </c>
      <c r="F23" s="10">
        <f>'修改后送审概算汇总表（未更新，不需要）'!J25</f>
        <v>207.012134</v>
      </c>
      <c r="G23" s="10">
        <f>审定概算汇总表!I26</f>
        <v>15031.5</v>
      </c>
      <c r="H23" s="10">
        <f>审定概算汇总表!J26</f>
        <v>119.941456275155</v>
      </c>
      <c r="I23" s="10">
        <f>审定概算汇总表!G26</f>
        <v>180.29</v>
      </c>
      <c r="J23" s="10">
        <f t="shared" si="0"/>
        <v>-26.722134</v>
      </c>
      <c r="K23" s="18">
        <f t="shared" si="1"/>
        <v>-0.129084868039668</v>
      </c>
      <c r="L23" s="12"/>
    </row>
    <row r="24" spans="1:12">
      <c r="A24" s="8">
        <f>审定概算汇总表!A27</f>
        <v>2.7</v>
      </c>
      <c r="B24" s="9" t="str">
        <f>审定概算汇总表!B27</f>
        <v>电力工程</v>
      </c>
      <c r="C24" s="7" t="str">
        <f>'修改后送审概算汇总表（未更新，不需要）'!K26</f>
        <v>m2</v>
      </c>
      <c r="D24" s="7">
        <f>'修改后送审概算汇总表（未更新，不需要）'!L26</f>
        <v>15031.5</v>
      </c>
      <c r="E24" s="7">
        <f>'修改后送审概算汇总表（未更新，不需要）'!M26</f>
        <v>93.1943345640821</v>
      </c>
      <c r="F24" s="10">
        <f>'修改后送审概算汇总表（未更新，不需要）'!J26</f>
        <v>140.085064</v>
      </c>
      <c r="G24" s="10">
        <f>审定概算汇总表!I27</f>
        <v>15031.5</v>
      </c>
      <c r="H24" s="10">
        <f>审定概算汇总表!J27</f>
        <v>91.3747796294448</v>
      </c>
      <c r="I24" s="10">
        <f>审定概算汇总表!G27</f>
        <v>137.35</v>
      </c>
      <c r="J24" s="10">
        <f t="shared" si="0"/>
        <v>-2.73506399999999</v>
      </c>
      <c r="K24" s="18">
        <f t="shared" si="1"/>
        <v>-0.0195243084587518</v>
      </c>
      <c r="L24" s="12"/>
    </row>
    <row r="25" spans="1:12">
      <c r="A25" s="8">
        <f>审定概算汇总表!A28</f>
        <v>2.8</v>
      </c>
      <c r="B25" s="9" t="str">
        <f>审定概算汇总表!B28</f>
        <v>通信工程</v>
      </c>
      <c r="C25" s="7" t="str">
        <f>'修改后送审概算汇总表（未更新，不需要）'!K27</f>
        <v>m2</v>
      </c>
      <c r="D25" s="7">
        <f>'修改后送审概算汇总表（未更新，不需要）'!L27</f>
        <v>15031.5</v>
      </c>
      <c r="E25" s="7">
        <f>'修改后送审概算汇总表（未更新，不需要）'!M27</f>
        <v>44.0105225692712</v>
      </c>
      <c r="F25" s="10">
        <f>'修改后送审概算汇总表（未更新，不需要）'!J27</f>
        <v>66.154417</v>
      </c>
      <c r="G25" s="10">
        <f>审定概算汇总表!I28</f>
        <v>15031.5</v>
      </c>
      <c r="H25" s="10">
        <f>审定概算汇总表!J28</f>
        <v>42.0649968399694</v>
      </c>
      <c r="I25" s="10">
        <f>审定概算汇总表!G28</f>
        <v>63.23</v>
      </c>
      <c r="J25" s="10">
        <f t="shared" si="0"/>
        <v>-2.924417</v>
      </c>
      <c r="K25" s="18">
        <f t="shared" si="1"/>
        <v>-0.0442059220323867</v>
      </c>
      <c r="L25" s="12"/>
    </row>
    <row r="26" spans="1:12">
      <c r="A26" s="8">
        <f>审定概算汇总表!A29</f>
        <v>2.9</v>
      </c>
      <c r="B26" s="9" t="str">
        <f>审定概算汇总表!B29</f>
        <v>照明工程</v>
      </c>
      <c r="C26" s="7" t="str">
        <f>'修改后送审概算汇总表（未更新，不需要）'!K28</f>
        <v>m2</v>
      </c>
      <c r="D26" s="7">
        <f>'修改后送审概算汇总表（未更新，不需要）'!L28</f>
        <v>15031.5</v>
      </c>
      <c r="E26" s="7">
        <f>'修改后送审概算汇总表（未更新，不需要）'!M28</f>
        <v>77.3701992482454</v>
      </c>
      <c r="F26" s="10">
        <f>'修改后送审概算汇总表（未更新，不需要）'!J28</f>
        <v>116.299015</v>
      </c>
      <c r="G26" s="10">
        <f>审定概算汇总表!I29</f>
        <v>15031.5</v>
      </c>
      <c r="H26" s="10">
        <f>审定概算汇总表!J29</f>
        <v>73.0798656155407</v>
      </c>
      <c r="I26" s="10">
        <f>审定概算汇总表!G29</f>
        <v>109.85</v>
      </c>
      <c r="J26" s="10">
        <f t="shared" si="0"/>
        <v>-6.449015</v>
      </c>
      <c r="K26" s="18">
        <f t="shared" si="1"/>
        <v>-0.0554520173709124</v>
      </c>
      <c r="L26" s="12"/>
    </row>
    <row r="27" spans="1:12">
      <c r="A27" s="10">
        <f>审定概算汇总表!A30</f>
        <v>2.1</v>
      </c>
      <c r="B27" s="9" t="str">
        <f>审定概算汇总表!B30</f>
        <v>绿化工程</v>
      </c>
      <c r="C27" s="7" t="str">
        <f>'修改后送审概算汇总表（未更新，不需要）'!K29</f>
        <v>m2</v>
      </c>
      <c r="D27" s="7">
        <f>'修改后送审概算汇总表（未更新，不需要）'!L29</f>
        <v>15031.5</v>
      </c>
      <c r="E27" s="7">
        <f>'修改后送审概算汇总表（未更新，不需要）'!M29</f>
        <v>54.1082659747863</v>
      </c>
      <c r="F27" s="10">
        <f>'修改后送审概算汇总表（未更新，不需要）'!J29</f>
        <v>81.33284</v>
      </c>
      <c r="G27" s="10">
        <f>审定概算汇总表!I30</f>
        <v>15031.5</v>
      </c>
      <c r="H27" s="10">
        <f>审定概算汇总表!J30</f>
        <v>41.5926554236104</v>
      </c>
      <c r="I27" s="10">
        <f>审定概算汇总表!G30</f>
        <v>62.52</v>
      </c>
      <c r="J27" s="10">
        <f t="shared" si="0"/>
        <v>-18.81284</v>
      </c>
      <c r="K27" s="18">
        <f t="shared" si="1"/>
        <v>-0.231306812844602</v>
      </c>
      <c r="L27" s="12"/>
    </row>
    <row r="28" spans="1:12">
      <c r="A28" s="6">
        <v>3</v>
      </c>
      <c r="B28" s="4" t="str">
        <f>审定概算汇总表!B31</f>
        <v>临秀路</v>
      </c>
      <c r="C28" s="5" t="s">
        <v>29</v>
      </c>
      <c r="D28" s="6">
        <v>13926.7</v>
      </c>
      <c r="E28" s="14">
        <v>1408.71181471562</v>
      </c>
      <c r="F28" s="14">
        <v>1961.870683</v>
      </c>
      <c r="G28" s="14">
        <f>审定概算汇总表!I31</f>
        <v>13926.7</v>
      </c>
      <c r="H28" s="14">
        <f>审定概算汇总表!J31</f>
        <v>1346.69</v>
      </c>
      <c r="I28" s="14">
        <f>审定概算汇总表!G31</f>
        <v>1875.49</v>
      </c>
      <c r="J28" s="14">
        <f t="shared" si="0"/>
        <v>-86.3806830000001</v>
      </c>
      <c r="K28" s="17">
        <f t="shared" si="1"/>
        <v>-0.044029753718482</v>
      </c>
      <c r="L28" s="11" t="s">
        <v>228</v>
      </c>
    </row>
    <row r="29" spans="1:12">
      <c r="A29" s="6">
        <v>4</v>
      </c>
      <c r="B29" s="4" t="str">
        <f>审定概算汇总表!B32</f>
        <v>临春环路北段</v>
      </c>
      <c r="C29" s="5" t="s">
        <v>29</v>
      </c>
      <c r="D29" s="5">
        <v>6589.494</v>
      </c>
      <c r="E29" s="5">
        <v>1504.52055954524</v>
      </c>
      <c r="F29" s="14">
        <v>991.40292</v>
      </c>
      <c r="G29" s="14">
        <f>审定概算汇总表!I32</f>
        <v>6589.494</v>
      </c>
      <c r="H29" s="14">
        <f>审定概算汇总表!J32</f>
        <v>1423.02</v>
      </c>
      <c r="I29" s="14">
        <f>审定概算汇总表!G32</f>
        <v>937.7</v>
      </c>
      <c r="J29" s="14">
        <f t="shared" si="0"/>
        <v>-53.7029199999999</v>
      </c>
      <c r="K29" s="17">
        <f t="shared" si="1"/>
        <v>-0.0541686118899064</v>
      </c>
      <c r="L29" s="11" t="s">
        <v>228</v>
      </c>
    </row>
    <row r="30" spans="1:12">
      <c r="A30" s="4" t="str">
        <f>审定概算汇总表!A33</f>
        <v>二</v>
      </c>
      <c r="B30" s="4" t="str">
        <f>审定概算汇总表!B33</f>
        <v>工程建设其他费用 </v>
      </c>
      <c r="C30" s="11"/>
      <c r="D30" s="11"/>
      <c r="E30" s="11"/>
      <c r="F30" s="14">
        <v>25495.8</v>
      </c>
      <c r="G30" s="11"/>
      <c r="H30" s="11"/>
      <c r="I30" s="14">
        <f>审定概算汇总表!G33</f>
        <v>25478.08102668</v>
      </c>
      <c r="J30" s="14">
        <f t="shared" si="0"/>
        <v>-17.7189733199993</v>
      </c>
      <c r="K30" s="17">
        <f t="shared" si="1"/>
        <v>-0.000694976165486055</v>
      </c>
      <c r="L30" s="12"/>
    </row>
    <row r="31" spans="1:12">
      <c r="A31" s="8">
        <f>审定概算汇总表!A34</f>
        <v>1</v>
      </c>
      <c r="B31" s="9" t="str">
        <f>审定概算汇总表!B34</f>
        <v>建设用地费及管线迁移</v>
      </c>
      <c r="C31" s="12"/>
      <c r="D31" s="12"/>
      <c r="E31" s="12"/>
      <c r="F31" s="10">
        <f>'修改后送审概算汇总表（未更新，不需要）'!J33</f>
        <v>24504.51</v>
      </c>
      <c r="G31" s="12"/>
      <c r="H31" s="12"/>
      <c r="I31" s="10">
        <f>审定概算汇总表!G34</f>
        <v>24504.51</v>
      </c>
      <c r="J31" s="10">
        <f t="shared" si="0"/>
        <v>0</v>
      </c>
      <c r="K31" s="18">
        <f t="shared" si="1"/>
        <v>0</v>
      </c>
      <c r="L31" s="19"/>
    </row>
    <row r="32" spans="1:12">
      <c r="A32" s="8">
        <f>审定概算汇总表!A35</f>
        <v>1.1</v>
      </c>
      <c r="B32" s="9" t="str">
        <f>审定概算汇总表!B35</f>
        <v>建设用地费</v>
      </c>
      <c r="C32" s="12"/>
      <c r="D32" s="12"/>
      <c r="E32" s="12"/>
      <c r="F32" s="10">
        <f>'修改后送审概算汇总表（未更新，不需要）'!J34</f>
        <v>23932.1</v>
      </c>
      <c r="G32" s="12"/>
      <c r="H32" s="12"/>
      <c r="I32" s="10">
        <f>审定概算汇总表!G35</f>
        <v>23932.1</v>
      </c>
      <c r="J32" s="10">
        <f t="shared" si="0"/>
        <v>0</v>
      </c>
      <c r="K32" s="18">
        <f t="shared" si="1"/>
        <v>0</v>
      </c>
      <c r="L32" s="19"/>
    </row>
    <row r="33" spans="1:12">
      <c r="A33" s="8">
        <f>审定概算汇总表!A36</f>
        <v>1.2</v>
      </c>
      <c r="B33" s="9" t="str">
        <f>审定概算汇总表!B36</f>
        <v>管线改迁</v>
      </c>
      <c r="C33" s="12"/>
      <c r="D33" s="12"/>
      <c r="E33" s="12"/>
      <c r="F33" s="10">
        <f>'修改后送审概算汇总表（未更新，不需要）'!J35</f>
        <v>422.41</v>
      </c>
      <c r="G33" s="12"/>
      <c r="H33" s="12"/>
      <c r="I33" s="10">
        <f>审定概算汇总表!G36</f>
        <v>422.41</v>
      </c>
      <c r="J33" s="10">
        <f t="shared" ref="J33:J53" si="2">I33-F33</f>
        <v>0</v>
      </c>
      <c r="K33" s="18">
        <f t="shared" ref="K33:K53" si="3">J33/F33</f>
        <v>0</v>
      </c>
      <c r="L33" s="18"/>
    </row>
    <row r="34" spans="1:12">
      <c r="A34" s="8" t="str">
        <f>审定概算汇总表!A37</f>
        <v>1.2.1</v>
      </c>
      <c r="B34" s="9" t="str">
        <f>审定概算汇总表!B37</f>
        <v>电力迁改</v>
      </c>
      <c r="C34" s="12"/>
      <c r="D34" s="12"/>
      <c r="E34" s="12"/>
      <c r="F34" s="10">
        <f>'修改后送审概算汇总表（未更新，不需要）'!I36</f>
        <v>171.91</v>
      </c>
      <c r="G34" s="12"/>
      <c r="H34" s="12"/>
      <c r="I34" s="10">
        <f>审定概算汇总表!G37</f>
        <v>171.91</v>
      </c>
      <c r="J34" s="10">
        <f t="shared" si="2"/>
        <v>0</v>
      </c>
      <c r="K34" s="18">
        <f t="shared" si="3"/>
        <v>0</v>
      </c>
      <c r="L34" s="18"/>
    </row>
    <row r="35" spans="1:12">
      <c r="A35" s="8" t="str">
        <f>审定概算汇总表!A38</f>
        <v>1.2.2</v>
      </c>
      <c r="B35" s="9" t="str">
        <f>审定概算汇总表!B38</f>
        <v>通信迁改-电信</v>
      </c>
      <c r="C35" s="12"/>
      <c r="D35" s="12"/>
      <c r="E35" s="12"/>
      <c r="F35" s="10">
        <f>'修改后送审概算汇总表（未更新，不需要）'!I37</f>
        <v>89</v>
      </c>
      <c r="G35" s="12"/>
      <c r="H35" s="12"/>
      <c r="I35" s="10">
        <f>审定概算汇总表!G38</f>
        <v>89</v>
      </c>
      <c r="J35" s="10">
        <f t="shared" si="2"/>
        <v>0</v>
      </c>
      <c r="K35" s="18">
        <f t="shared" si="3"/>
        <v>0</v>
      </c>
      <c r="L35" s="18"/>
    </row>
    <row r="36" spans="1:12">
      <c r="A36" s="8" t="str">
        <f>审定概算汇总表!A39</f>
        <v>1.2.3</v>
      </c>
      <c r="B36" s="9" t="str">
        <f>审定概算汇总表!B39</f>
        <v>通信迁改-联通</v>
      </c>
      <c r="C36" s="12"/>
      <c r="D36" s="12"/>
      <c r="E36" s="12"/>
      <c r="F36" s="10">
        <f>'修改后送审概算汇总表（未更新，不需要）'!I38</f>
        <v>20</v>
      </c>
      <c r="G36" s="12"/>
      <c r="H36" s="12"/>
      <c r="I36" s="10">
        <f>审定概算汇总表!G39</f>
        <v>20</v>
      </c>
      <c r="J36" s="10">
        <f t="shared" si="2"/>
        <v>0</v>
      </c>
      <c r="K36" s="18">
        <f t="shared" si="3"/>
        <v>0</v>
      </c>
      <c r="L36" s="18"/>
    </row>
    <row r="37" spans="1:12">
      <c r="A37" s="8" t="str">
        <f>审定概算汇总表!A40</f>
        <v>1.2.4</v>
      </c>
      <c r="B37" s="9" t="str">
        <f>审定概算汇总表!B40</f>
        <v>通信迁改-移动</v>
      </c>
      <c r="C37" s="12"/>
      <c r="D37" s="12"/>
      <c r="E37" s="12"/>
      <c r="F37" s="10">
        <f>'修改后送审概算汇总表（未更新，不需要）'!I39</f>
        <v>70</v>
      </c>
      <c r="G37" s="12"/>
      <c r="H37" s="12"/>
      <c r="I37" s="10">
        <f>审定概算汇总表!G40</f>
        <v>70</v>
      </c>
      <c r="J37" s="10">
        <f t="shared" si="2"/>
        <v>0</v>
      </c>
      <c r="K37" s="18">
        <f t="shared" si="3"/>
        <v>0</v>
      </c>
      <c r="L37" s="18"/>
    </row>
    <row r="38" spans="1:12">
      <c r="A38" s="8" t="str">
        <f>审定概算汇总表!A41</f>
        <v>1.2.5</v>
      </c>
      <c r="B38" s="9" t="str">
        <f>审定概算汇总表!B41</f>
        <v>通信迁改-国防光缆</v>
      </c>
      <c r="C38" s="12"/>
      <c r="D38" s="12"/>
      <c r="E38" s="12"/>
      <c r="F38" s="10">
        <f>'修改后送审概算汇总表（未更新，不需要）'!I40</f>
        <v>70</v>
      </c>
      <c r="G38" s="12"/>
      <c r="H38" s="12"/>
      <c r="I38" s="10">
        <f>审定概算汇总表!G41</f>
        <v>70</v>
      </c>
      <c r="J38" s="10">
        <f t="shared" si="2"/>
        <v>0</v>
      </c>
      <c r="K38" s="18">
        <f t="shared" si="3"/>
        <v>0</v>
      </c>
      <c r="L38" s="18"/>
    </row>
    <row r="39" spans="1:12">
      <c r="A39" s="8" t="str">
        <f>审定概算汇总表!A42</f>
        <v>1.2.6</v>
      </c>
      <c r="B39" s="9" t="str">
        <f>审定概算汇总表!B42</f>
        <v>迁移路灯（含线路）-临川路</v>
      </c>
      <c r="C39" s="12"/>
      <c r="D39" s="12"/>
      <c r="E39" s="12"/>
      <c r="F39" s="10">
        <f>'修改后送审概算汇总表（未更新，不需要）'!I41</f>
        <v>0.5</v>
      </c>
      <c r="G39" s="12"/>
      <c r="H39" s="12"/>
      <c r="I39" s="10">
        <f>审定概算汇总表!G42</f>
        <v>0.5</v>
      </c>
      <c r="J39" s="10">
        <f t="shared" si="2"/>
        <v>0</v>
      </c>
      <c r="K39" s="18">
        <f t="shared" si="3"/>
        <v>0</v>
      </c>
      <c r="L39" s="18"/>
    </row>
    <row r="40" spans="1:12">
      <c r="A40" s="8" t="str">
        <f>审定概算汇总表!A43</f>
        <v>1.2.7</v>
      </c>
      <c r="B40" s="9" t="str">
        <f>审定概算汇总表!B43</f>
        <v>迁移监控-临川路</v>
      </c>
      <c r="C40" s="12"/>
      <c r="D40" s="12"/>
      <c r="E40" s="12"/>
      <c r="F40" s="10">
        <f>'修改后送审概算汇总表（未更新，不需要）'!I42</f>
        <v>0.5</v>
      </c>
      <c r="G40" s="12"/>
      <c r="H40" s="12"/>
      <c r="I40" s="10">
        <f>审定概算汇总表!G43</f>
        <v>0.5</v>
      </c>
      <c r="J40" s="10">
        <f t="shared" si="2"/>
        <v>0</v>
      </c>
      <c r="K40" s="18">
        <f t="shared" si="3"/>
        <v>0</v>
      </c>
      <c r="L40" s="18"/>
    </row>
    <row r="41" spans="1:12">
      <c r="A41" s="8" t="str">
        <f>审定概算汇总表!A44</f>
        <v>1.2.8</v>
      </c>
      <c r="B41" s="9" t="str">
        <f>审定概算汇总表!B44</f>
        <v>迁移路灯（含线路）-临春环路北段</v>
      </c>
      <c r="C41" s="12"/>
      <c r="D41" s="12"/>
      <c r="E41" s="12"/>
      <c r="F41" s="10">
        <f>'修改后送审概算汇总表（未更新，不需要）'!I43</f>
        <v>0.5</v>
      </c>
      <c r="G41" s="12"/>
      <c r="H41" s="12"/>
      <c r="I41" s="10">
        <f>审定概算汇总表!G44</f>
        <v>0.5</v>
      </c>
      <c r="J41" s="10">
        <f t="shared" si="2"/>
        <v>0</v>
      </c>
      <c r="K41" s="18">
        <f t="shared" si="3"/>
        <v>0</v>
      </c>
      <c r="L41" s="18"/>
    </row>
    <row r="42" spans="1:12">
      <c r="A42" s="8">
        <f>审定概算汇总表!A45</f>
        <v>1.3</v>
      </c>
      <c r="B42" s="9" t="str">
        <f>审定概算汇总表!B45</f>
        <v>古树迁移</v>
      </c>
      <c r="C42" s="12"/>
      <c r="D42" s="12"/>
      <c r="E42" s="12"/>
      <c r="F42" s="10">
        <f>'修改后送审概算汇总表（未更新，不需要）'!I44</f>
        <v>150</v>
      </c>
      <c r="G42" s="12"/>
      <c r="H42" s="12"/>
      <c r="I42" s="10">
        <f>审定概算汇总表!G45</f>
        <v>150</v>
      </c>
      <c r="J42" s="10">
        <f t="shared" si="2"/>
        <v>0</v>
      </c>
      <c r="K42" s="18">
        <f t="shared" si="3"/>
        <v>0</v>
      </c>
      <c r="L42" s="18"/>
    </row>
    <row r="43" spans="1:12">
      <c r="A43" s="8">
        <f>审定概算汇总表!A46</f>
        <v>2</v>
      </c>
      <c r="B43" s="9" t="str">
        <f>审定概算汇总表!B46</f>
        <v>建设单位管理费</v>
      </c>
      <c r="C43" s="12"/>
      <c r="D43" s="12"/>
      <c r="E43" s="12"/>
      <c r="F43" s="10">
        <f>'修改后送审概算汇总表（未更新，不需要）'!J45</f>
        <v>151.7248</v>
      </c>
      <c r="G43" s="12"/>
      <c r="H43" s="12"/>
      <c r="I43" s="10">
        <f>审定概算汇总表!G46</f>
        <v>139.2144</v>
      </c>
      <c r="J43" s="10">
        <f t="shared" si="2"/>
        <v>-12.5103999999999</v>
      </c>
      <c r="K43" s="18">
        <f t="shared" si="3"/>
        <v>-0.0824545492892389</v>
      </c>
      <c r="L43" s="12"/>
    </row>
    <row r="44" spans="1:12">
      <c r="A44" s="8">
        <f>审定概算汇总表!A47</f>
        <v>3</v>
      </c>
      <c r="B44" s="9" t="str">
        <f>审定概算汇总表!B47</f>
        <v>工程建设监理费</v>
      </c>
      <c r="C44" s="12"/>
      <c r="D44" s="12"/>
      <c r="E44" s="12"/>
      <c r="F44" s="7">
        <v>162.86</v>
      </c>
      <c r="G44" s="12"/>
      <c r="H44" s="12"/>
      <c r="I44" s="10">
        <f>审定概算汇总表!G47</f>
        <v>153.94432</v>
      </c>
      <c r="J44" s="10">
        <f t="shared" si="2"/>
        <v>-8.91568000000001</v>
      </c>
      <c r="K44" s="18">
        <f t="shared" si="3"/>
        <v>-0.054744443079946</v>
      </c>
      <c r="L44" s="12"/>
    </row>
    <row r="45" spans="1:12">
      <c r="A45" s="8">
        <f>审定概算汇总表!A48</f>
        <v>4</v>
      </c>
      <c r="B45" s="9" t="str">
        <f>审定概算汇总表!B48</f>
        <v>编制可行性研究报告</v>
      </c>
      <c r="C45" s="12"/>
      <c r="D45" s="12"/>
      <c r="E45" s="12"/>
      <c r="F45" s="10">
        <f>'修改后送审概算汇总表（未更新，不需要）'!J47</f>
        <v>18</v>
      </c>
      <c r="G45" s="12"/>
      <c r="H45" s="12"/>
      <c r="I45" s="10">
        <f>审定概算汇总表!G48</f>
        <v>18</v>
      </c>
      <c r="J45" s="10">
        <f t="shared" si="2"/>
        <v>0</v>
      </c>
      <c r="K45" s="18">
        <f t="shared" si="3"/>
        <v>0</v>
      </c>
      <c r="L45" s="12"/>
    </row>
    <row r="46" spans="1:12">
      <c r="A46" s="8">
        <f>审定概算汇总表!A49</f>
        <v>5</v>
      </c>
      <c r="B46" s="9" t="str">
        <f>审定概算汇总表!B49</f>
        <v>工程设计费</v>
      </c>
      <c r="C46" s="12"/>
      <c r="D46" s="12"/>
      <c r="E46" s="12"/>
      <c r="F46" s="10">
        <f>'修改后送审概算汇总表（未更新，不需要）'!J50</f>
        <v>180.6</v>
      </c>
      <c r="G46" s="12"/>
      <c r="H46" s="12"/>
      <c r="I46" s="10">
        <f>审定概算汇总表!G49</f>
        <v>180.6</v>
      </c>
      <c r="J46" s="10">
        <f t="shared" si="2"/>
        <v>0</v>
      </c>
      <c r="K46" s="18">
        <f t="shared" si="3"/>
        <v>0</v>
      </c>
      <c r="L46" s="12"/>
    </row>
    <row r="47" spans="1:12">
      <c r="A47" s="8">
        <f>审定概算汇总表!A50</f>
        <v>6</v>
      </c>
      <c r="B47" s="9" t="str">
        <f>审定概算汇总表!B50</f>
        <v>工程测量勘察费</v>
      </c>
      <c r="C47" s="12"/>
      <c r="D47" s="12"/>
      <c r="E47" s="12"/>
      <c r="F47" s="10">
        <f>F48+F49</f>
        <v>28.59</v>
      </c>
      <c r="G47" s="12"/>
      <c r="H47" s="12"/>
      <c r="I47" s="10">
        <f>审定概算汇总表!G50</f>
        <v>26.5343082</v>
      </c>
      <c r="J47" s="10">
        <f t="shared" si="2"/>
        <v>-2.0556918</v>
      </c>
      <c r="K47" s="18">
        <f t="shared" si="3"/>
        <v>-0.0719024763903463</v>
      </c>
      <c r="L47" s="12"/>
    </row>
    <row r="48" spans="1:12">
      <c r="A48" s="8">
        <f>审定概算汇总表!A51</f>
        <v>6.1</v>
      </c>
      <c r="B48" s="9" t="str">
        <f>审定概算汇总表!B51</f>
        <v>工程测绘费（含物探费）</v>
      </c>
      <c r="C48" s="12"/>
      <c r="D48" s="12"/>
      <c r="E48" s="12"/>
      <c r="F48" s="10">
        <v>13.96</v>
      </c>
      <c r="G48" s="12"/>
      <c r="H48" s="12"/>
      <c r="I48" s="10">
        <f>审定概算汇总表!G51</f>
        <v>11.9043082</v>
      </c>
      <c r="J48" s="10">
        <f t="shared" si="2"/>
        <v>-2.0556918</v>
      </c>
      <c r="K48" s="18">
        <f t="shared" si="3"/>
        <v>-0.147255859598854</v>
      </c>
      <c r="L48" s="12"/>
    </row>
    <row r="49" spans="1:12">
      <c r="A49" s="8">
        <f>审定概算汇总表!A52</f>
        <v>6.2</v>
      </c>
      <c r="B49" s="9" t="str">
        <f>审定概算汇总表!B52</f>
        <v>工程勘察费</v>
      </c>
      <c r="C49" s="12"/>
      <c r="D49" s="12"/>
      <c r="E49" s="12"/>
      <c r="F49" s="10">
        <f>'修改后送审概算汇总表（未更新，不需要）'!I53</f>
        <v>14.63</v>
      </c>
      <c r="G49" s="12"/>
      <c r="H49" s="12"/>
      <c r="I49" s="10">
        <f>审定概算汇总表!G52</f>
        <v>14.63</v>
      </c>
      <c r="J49" s="10">
        <f t="shared" si="2"/>
        <v>0</v>
      </c>
      <c r="K49" s="18">
        <f t="shared" si="3"/>
        <v>0</v>
      </c>
      <c r="L49" s="12"/>
    </row>
    <row r="50" spans="1:12">
      <c r="A50" s="8">
        <f>审定概算汇总表!A53</f>
        <v>7</v>
      </c>
      <c r="B50" s="9" t="str">
        <f>审定概算汇总表!B53</f>
        <v>场地准备及临时设施</v>
      </c>
      <c r="C50" s="12"/>
      <c r="D50" s="12"/>
      <c r="E50" s="12"/>
      <c r="F50" s="10">
        <v>46</v>
      </c>
      <c r="G50" s="12"/>
      <c r="H50" s="12"/>
      <c r="I50" s="10">
        <f>审定概算汇总表!G53</f>
        <v>43.04</v>
      </c>
      <c r="J50" s="10">
        <f t="shared" si="2"/>
        <v>-2.96</v>
      </c>
      <c r="K50" s="18">
        <f t="shared" si="3"/>
        <v>-0.0643478260869565</v>
      </c>
      <c r="L50" s="12"/>
    </row>
    <row r="51" spans="1:12">
      <c r="A51" s="8">
        <f>审定概算汇总表!A54</f>
        <v>8</v>
      </c>
      <c r="B51" s="9" t="str">
        <f>审定概算汇总表!B54</f>
        <v>工程保险费</v>
      </c>
      <c r="C51" s="12"/>
      <c r="D51" s="12"/>
      <c r="E51" s="12"/>
      <c r="F51" s="10">
        <f>'修改后送审概算汇总表（未更新，不需要）'!J55</f>
        <v>27.595717059</v>
      </c>
      <c r="G51" s="12"/>
      <c r="H51" s="12"/>
      <c r="I51" s="10">
        <f>审定概算汇总表!G54</f>
        <v>25.824</v>
      </c>
      <c r="J51" s="10">
        <f t="shared" si="2"/>
        <v>-1.771717059</v>
      </c>
      <c r="K51" s="18">
        <f t="shared" si="3"/>
        <v>-0.0642026099634245</v>
      </c>
      <c r="L51" s="12"/>
    </row>
    <row r="52" spans="1:12">
      <c r="A52" s="8">
        <f>审定概算汇总表!A55</f>
        <v>9</v>
      </c>
      <c r="B52" s="9" t="str">
        <f>审定概算汇总表!B55</f>
        <v>工程量清单编制费（含招标控制价）</v>
      </c>
      <c r="C52" s="12"/>
      <c r="D52" s="12"/>
      <c r="E52" s="12"/>
      <c r="F52" s="10">
        <f>'修改后送审概算汇总表（未更新，不需要）'!J56</f>
        <v>18</v>
      </c>
      <c r="G52" s="12"/>
      <c r="H52" s="12"/>
      <c r="I52" s="10">
        <f>审定概算汇总表!G55</f>
        <v>18</v>
      </c>
      <c r="J52" s="10">
        <f t="shared" si="2"/>
        <v>0</v>
      </c>
      <c r="K52" s="18">
        <f t="shared" si="3"/>
        <v>0</v>
      </c>
      <c r="L52" s="12"/>
    </row>
    <row r="53" spans="1:12">
      <c r="A53" s="8">
        <f>审定概算汇总表!A56</f>
        <v>10</v>
      </c>
      <c r="B53" s="9" t="str">
        <f>审定概算汇总表!B56</f>
        <v>招标代理服务费</v>
      </c>
      <c r="C53" s="12"/>
      <c r="D53" s="12"/>
      <c r="E53" s="12"/>
      <c r="F53" s="10">
        <f>'修改后送审概算汇总表（未更新，不需要）'!J57</f>
        <v>26.4598055452104</v>
      </c>
      <c r="G53" s="12"/>
      <c r="H53" s="12"/>
      <c r="I53" s="10">
        <f>审定概算汇总表!G56</f>
        <v>25.70435456</v>
      </c>
      <c r="J53" s="10">
        <f t="shared" si="2"/>
        <v>-0.755450985210402</v>
      </c>
      <c r="K53" s="18">
        <f t="shared" si="3"/>
        <v>-0.0285508895339236</v>
      </c>
      <c r="L53" s="12"/>
    </row>
    <row r="54" spans="1:12">
      <c r="A54" s="8">
        <f>审定概算汇总表!A57</f>
        <v>10.1</v>
      </c>
      <c r="B54" s="9" t="str">
        <f>审定概算汇总表!B57</f>
        <v>工程招标</v>
      </c>
      <c r="C54" s="12"/>
      <c r="D54" s="12"/>
      <c r="E54" s="12"/>
      <c r="F54" s="10">
        <f>'修改后送审概算汇总表（未更新，不需要）'!I58</f>
        <v>23.1577157648</v>
      </c>
      <c r="G54" s="12"/>
      <c r="H54" s="12"/>
      <c r="I54" s="10">
        <f>审定概算汇总表!G57</f>
        <v>22.2128</v>
      </c>
      <c r="J54" s="10">
        <f t="shared" ref="J54:J77" si="4">I54-F54</f>
        <v>-0.944915764799998</v>
      </c>
      <c r="K54" s="18">
        <f t="shared" ref="K54:K76" si="5">J54/F54</f>
        <v>-0.040803496095944</v>
      </c>
      <c r="L54" s="12"/>
    </row>
    <row r="55" spans="1:12">
      <c r="A55" s="8">
        <f>审定概算汇总表!A58</f>
        <v>10.2</v>
      </c>
      <c r="B55" s="9" t="str">
        <f>审定概算汇总表!B58</f>
        <v>设计招标</v>
      </c>
      <c r="C55" s="12"/>
      <c r="D55" s="12"/>
      <c r="E55" s="12"/>
      <c r="F55" s="10">
        <f>'修改后送审概算汇总表（未更新，不需要）'!I60</f>
        <v>1.7</v>
      </c>
      <c r="G55" s="12"/>
      <c r="H55" s="12"/>
      <c r="I55" s="10">
        <f>审定概算汇总表!G58</f>
        <v>1.7</v>
      </c>
      <c r="J55" s="10">
        <f t="shared" si="4"/>
        <v>0</v>
      </c>
      <c r="K55" s="18">
        <f t="shared" si="5"/>
        <v>0</v>
      </c>
      <c r="L55" s="12"/>
    </row>
    <row r="56" spans="1:12">
      <c r="A56" s="8">
        <f>审定概算汇总表!A59</f>
        <v>10.3</v>
      </c>
      <c r="B56" s="9" t="str">
        <f>审定概算汇总表!B59</f>
        <v>监理招标</v>
      </c>
      <c r="C56" s="12"/>
      <c r="D56" s="12"/>
      <c r="E56" s="12"/>
      <c r="F56" s="10">
        <f>'修改后送审概算汇总表（未更新，不需要）'!I61</f>
        <v>1.60208978041037</v>
      </c>
      <c r="G56" s="12"/>
      <c r="H56" s="12"/>
      <c r="I56" s="10">
        <f>审定概算汇总表!G59</f>
        <v>1.79155456</v>
      </c>
      <c r="J56" s="10">
        <f t="shared" si="4"/>
        <v>0.18946477958963</v>
      </c>
      <c r="K56" s="18">
        <f t="shared" si="5"/>
        <v>0.118261025010158</v>
      </c>
      <c r="L56" s="12"/>
    </row>
    <row r="57" spans="1:12">
      <c r="A57" s="8">
        <f>审定概算汇总表!A60</f>
        <v>11</v>
      </c>
      <c r="B57" s="9" t="str">
        <f>审定概算汇总表!B60</f>
        <v>施工图审查费</v>
      </c>
      <c r="C57" s="12"/>
      <c r="D57" s="12"/>
      <c r="E57" s="12"/>
      <c r="F57" s="10">
        <f>'修改后送审概算汇总表（未更新，不需要）'!J62</f>
        <v>9.4</v>
      </c>
      <c r="G57" s="12"/>
      <c r="H57" s="12"/>
      <c r="I57" s="10">
        <f>审定概算汇总表!G60</f>
        <v>9.4</v>
      </c>
      <c r="J57" s="10">
        <f t="shared" si="4"/>
        <v>0</v>
      </c>
      <c r="K57" s="18">
        <f t="shared" si="5"/>
        <v>0</v>
      </c>
      <c r="L57" s="12"/>
    </row>
    <row r="58" spans="1:12">
      <c r="A58" s="8">
        <f>审定概算汇总表!A61</f>
        <v>12</v>
      </c>
      <c r="B58" s="9" t="str">
        <f>审定概算汇总表!B61</f>
        <v>结算审核费</v>
      </c>
      <c r="C58" s="12"/>
      <c r="D58" s="12"/>
      <c r="E58" s="12"/>
      <c r="F58" s="10">
        <v>26.97</v>
      </c>
      <c r="G58" s="12"/>
      <c r="H58" s="12"/>
      <c r="I58" s="10">
        <f>审定概算汇总表!G61</f>
        <v>25.40512</v>
      </c>
      <c r="J58" s="10">
        <f t="shared" si="4"/>
        <v>-1.56488</v>
      </c>
      <c r="K58" s="18">
        <f t="shared" si="5"/>
        <v>-0.0580229885057471</v>
      </c>
      <c r="L58" s="12"/>
    </row>
    <row r="59" spans="1:12">
      <c r="A59" s="8">
        <f>审定概算汇总表!A62</f>
        <v>13</v>
      </c>
      <c r="B59" s="9" t="str">
        <f>审定概算汇总表!B62</f>
        <v>水土保持咨询服务费</v>
      </c>
      <c r="C59" s="12"/>
      <c r="D59" s="12"/>
      <c r="E59" s="12"/>
      <c r="F59" s="10">
        <f>'修改后送审概算汇总表（未更新，不需要）'!J64</f>
        <v>60.48755192</v>
      </c>
      <c r="G59" s="12"/>
      <c r="H59" s="12"/>
      <c r="I59" s="10">
        <f>审定概算汇总表!G62</f>
        <v>58.67046392</v>
      </c>
      <c r="J59" s="10">
        <f t="shared" si="4"/>
        <v>-1.817088</v>
      </c>
      <c r="K59" s="18">
        <f t="shared" si="5"/>
        <v>-0.0300406933711461</v>
      </c>
      <c r="L59" s="12"/>
    </row>
    <row r="60" spans="1:12">
      <c r="A60" s="8">
        <f>审定概算汇总表!A63</f>
        <v>13.1</v>
      </c>
      <c r="B60" s="9" t="str">
        <f>审定概算汇总表!B63</f>
        <v>水土保持方案编制费、监测费</v>
      </c>
      <c r="C60" s="12"/>
      <c r="D60" s="12"/>
      <c r="E60" s="12"/>
      <c r="F60" s="10">
        <f>'修改后送审概算汇总表（未更新，不需要）'!I65</f>
        <v>38</v>
      </c>
      <c r="G60" s="12"/>
      <c r="H60" s="12"/>
      <c r="I60" s="10">
        <f>审定概算汇总表!G63</f>
        <v>38</v>
      </c>
      <c r="J60" s="10">
        <f t="shared" si="4"/>
        <v>0</v>
      </c>
      <c r="K60" s="18">
        <f t="shared" si="5"/>
        <v>0</v>
      </c>
      <c r="L60" s="12"/>
    </row>
    <row r="61" spans="1:12">
      <c r="A61" s="8">
        <f>审定概算汇总表!A64</f>
        <v>13.2</v>
      </c>
      <c r="B61" s="9" t="str">
        <f>审定概算汇总表!B64</f>
        <v>水土保持设施竣工验收技术评估报告编制费</v>
      </c>
      <c r="C61" s="12"/>
      <c r="D61" s="12"/>
      <c r="E61" s="12"/>
      <c r="F61" s="10">
        <f>'修改后送审概算汇总表（未更新，不需要）'!I66</f>
        <v>9.703488</v>
      </c>
      <c r="G61" s="12"/>
      <c r="H61" s="12"/>
      <c r="I61" s="10">
        <f>审定概算汇总表!G64</f>
        <v>7.8864</v>
      </c>
      <c r="J61" s="10">
        <f t="shared" si="4"/>
        <v>-1.817088</v>
      </c>
      <c r="K61" s="18">
        <f t="shared" si="5"/>
        <v>-0.187261322938721</v>
      </c>
      <c r="L61" s="12"/>
    </row>
    <row r="62" spans="1:12">
      <c r="A62" s="8">
        <f>审定概算汇总表!A65</f>
        <v>13.3</v>
      </c>
      <c r="B62" s="9" t="str">
        <f>审定概算汇总表!B65</f>
        <v>水土保持补偿费</v>
      </c>
      <c r="C62" s="12"/>
      <c r="D62" s="12"/>
      <c r="E62" s="12"/>
      <c r="F62" s="10">
        <f>'修改后送审概算汇总表（未更新，不需要）'!I67</f>
        <v>12.78406392</v>
      </c>
      <c r="G62" s="12"/>
      <c r="H62" s="12"/>
      <c r="I62" s="10">
        <f>审定概算汇总表!G65</f>
        <v>12.78406392</v>
      </c>
      <c r="J62" s="10">
        <f t="shared" si="4"/>
        <v>0</v>
      </c>
      <c r="K62" s="18">
        <f t="shared" si="5"/>
        <v>0</v>
      </c>
      <c r="L62" s="12"/>
    </row>
    <row r="63" spans="1:12">
      <c r="A63" s="8">
        <f>审定概算汇总表!A66</f>
        <v>14</v>
      </c>
      <c r="B63" s="9" t="str">
        <f>审定概算汇总表!B66</f>
        <v>节约集约用地评价报告</v>
      </c>
      <c r="C63" s="12"/>
      <c r="D63" s="12"/>
      <c r="E63" s="12"/>
      <c r="F63" s="10">
        <f>'修改后送审概算汇总表（未更新，不需要）'!J68</f>
        <v>7</v>
      </c>
      <c r="G63" s="12"/>
      <c r="H63" s="12"/>
      <c r="I63" s="10">
        <f>审定概算汇总表!G66</f>
        <v>7</v>
      </c>
      <c r="J63" s="10">
        <f t="shared" si="4"/>
        <v>0</v>
      </c>
      <c r="K63" s="18">
        <f t="shared" si="5"/>
        <v>0</v>
      </c>
      <c r="L63" s="12"/>
    </row>
    <row r="64" spans="1:12">
      <c r="A64" s="8">
        <f>审定概算汇总表!A67</f>
        <v>15</v>
      </c>
      <c r="B64" s="9" t="str">
        <f>审定概算汇总表!B67</f>
        <v>交通影响分析评价报告费</v>
      </c>
      <c r="C64" s="12"/>
      <c r="D64" s="12"/>
      <c r="E64" s="12"/>
      <c r="F64" s="10">
        <f>'修改后送审概算汇总表（未更新，不需要）'!J69</f>
        <v>40</v>
      </c>
      <c r="G64" s="12"/>
      <c r="H64" s="12"/>
      <c r="I64" s="10">
        <f>审定概算汇总表!G67</f>
        <v>40</v>
      </c>
      <c r="J64" s="10">
        <f t="shared" si="4"/>
        <v>0</v>
      </c>
      <c r="K64" s="18">
        <f t="shared" si="5"/>
        <v>0</v>
      </c>
      <c r="L64" s="12"/>
    </row>
    <row r="65" spans="1:12">
      <c r="A65" s="8">
        <f>审定概算汇总表!A68</f>
        <v>16</v>
      </c>
      <c r="B65" s="9" t="str">
        <f>审定概算汇总表!B68</f>
        <v>工程质量检测费</v>
      </c>
      <c r="C65" s="12"/>
      <c r="D65" s="12"/>
      <c r="E65" s="12"/>
      <c r="F65" s="10">
        <v>64.4</v>
      </c>
      <c r="G65" s="12"/>
      <c r="H65" s="12"/>
      <c r="I65" s="10">
        <f>审定概算汇总表!G68</f>
        <v>60.256</v>
      </c>
      <c r="J65" s="10">
        <f t="shared" si="4"/>
        <v>-4.14400000000001</v>
      </c>
      <c r="K65" s="18">
        <f t="shared" si="5"/>
        <v>-0.0643478260869566</v>
      </c>
      <c r="L65" s="12"/>
    </row>
    <row r="66" spans="1:12">
      <c r="A66" s="8">
        <f>审定概算汇总表!A69</f>
        <v>17</v>
      </c>
      <c r="B66" s="9" t="str">
        <f>审定概算汇总表!B69</f>
        <v>供电外线及接驳费</v>
      </c>
      <c r="C66" s="12"/>
      <c r="D66" s="12"/>
      <c r="E66" s="12"/>
      <c r="F66" s="10">
        <f>'修改后送审概算汇总表（未更新，不需要）'!J71</f>
        <v>50</v>
      </c>
      <c r="G66" s="12"/>
      <c r="H66" s="12"/>
      <c r="I66" s="10">
        <f>审定概算汇总表!G69</f>
        <v>0</v>
      </c>
      <c r="J66" s="10">
        <f t="shared" si="4"/>
        <v>-50</v>
      </c>
      <c r="K66" s="18">
        <f t="shared" si="5"/>
        <v>-1</v>
      </c>
      <c r="L66" s="12"/>
    </row>
    <row r="67" spans="1:12">
      <c r="A67" s="8">
        <f>审定概算汇总表!A70</f>
        <v>18</v>
      </c>
      <c r="B67" s="9" t="str">
        <f>审定概算汇总表!B70</f>
        <v>DN800供水管接驳费</v>
      </c>
      <c r="C67" s="12"/>
      <c r="D67" s="12"/>
      <c r="E67" s="12"/>
      <c r="F67" s="10">
        <f>'修改后送审概算汇总表（未更新，不需要）'!J72</f>
        <v>2</v>
      </c>
      <c r="G67" s="12"/>
      <c r="H67" s="12"/>
      <c r="I67" s="10">
        <f>审定概算汇总表!G70</f>
        <v>0</v>
      </c>
      <c r="J67" s="10">
        <f t="shared" si="4"/>
        <v>-2</v>
      </c>
      <c r="K67" s="18">
        <f t="shared" si="5"/>
        <v>-1</v>
      </c>
      <c r="L67" s="12"/>
    </row>
    <row r="68" spans="1:12">
      <c r="A68" s="8">
        <f>审定概算汇总表!A71</f>
        <v>19</v>
      </c>
      <c r="B68" s="9" t="str">
        <f>审定概算汇总表!B71</f>
        <v>规划验线费</v>
      </c>
      <c r="C68" s="12"/>
      <c r="D68" s="12"/>
      <c r="E68" s="12"/>
      <c r="F68" s="10">
        <f>'修改后送审概算汇总表（未更新，不需要）'!J73</f>
        <v>3</v>
      </c>
      <c r="G68" s="12"/>
      <c r="H68" s="12"/>
      <c r="I68" s="10">
        <f>审定概算汇总表!G71</f>
        <v>3</v>
      </c>
      <c r="J68" s="10">
        <f t="shared" si="4"/>
        <v>0</v>
      </c>
      <c r="K68" s="18">
        <f t="shared" si="5"/>
        <v>0</v>
      </c>
      <c r="L68" s="12"/>
    </row>
    <row r="69" spans="1:12">
      <c r="A69" s="8">
        <f>审定概算汇总表!A72</f>
        <v>20</v>
      </c>
      <c r="B69" s="9" t="str">
        <f>审定概算汇总表!B72</f>
        <v>竣工决算编制费</v>
      </c>
      <c r="C69" s="12"/>
      <c r="D69" s="12"/>
      <c r="E69" s="12"/>
      <c r="F69" s="10">
        <f>'修改后送审概算汇总表（未更新，不需要）'!J74</f>
        <v>15</v>
      </c>
      <c r="G69" s="12"/>
      <c r="H69" s="12"/>
      <c r="I69" s="10">
        <f>审定概算汇总表!G72</f>
        <v>51.84774</v>
      </c>
      <c r="J69" s="10">
        <f t="shared" si="4"/>
        <v>36.84774</v>
      </c>
      <c r="K69" s="18">
        <f t="shared" si="5"/>
        <v>2.456516</v>
      </c>
      <c r="L69" s="12"/>
    </row>
    <row r="70" spans="1:12">
      <c r="A70" s="8">
        <f>审定概算汇总表!A73</f>
        <v>21</v>
      </c>
      <c r="B70" s="9" t="str">
        <f>审定概算汇总表!B73</f>
        <v>防洪评价费</v>
      </c>
      <c r="C70" s="12"/>
      <c r="D70" s="12"/>
      <c r="E70" s="12"/>
      <c r="F70" s="10">
        <f>'修改后送审概算汇总表（未更新，不需要）'!J75</f>
        <v>18</v>
      </c>
      <c r="G70" s="12"/>
      <c r="H70" s="12"/>
      <c r="I70" s="10">
        <f>审定概算汇总表!G73</f>
        <v>18</v>
      </c>
      <c r="J70" s="10">
        <f t="shared" si="4"/>
        <v>0</v>
      </c>
      <c r="K70" s="18">
        <f t="shared" si="5"/>
        <v>0</v>
      </c>
      <c r="L70" s="12"/>
    </row>
    <row r="71" spans="1:12">
      <c r="A71" s="8">
        <f>审定概算汇总表!A74</f>
        <v>22</v>
      </c>
      <c r="B71" s="9" t="str">
        <f>审定概算汇总表!B74</f>
        <v>工程款支付担保费</v>
      </c>
      <c r="C71" s="12"/>
      <c r="D71" s="12"/>
      <c r="E71" s="12"/>
      <c r="F71" s="10">
        <f>'修改后送审概算汇总表（未更新，不需要）'!J76</f>
        <v>35.18507461785</v>
      </c>
      <c r="G71" s="12"/>
      <c r="H71" s="12"/>
      <c r="I71" s="10">
        <f>审定概算汇总表!G74</f>
        <v>0</v>
      </c>
      <c r="J71" s="10">
        <f t="shared" si="4"/>
        <v>-35.18507461785</v>
      </c>
      <c r="K71" s="18">
        <f t="shared" si="5"/>
        <v>-1</v>
      </c>
      <c r="L71" s="12" t="s">
        <v>212</v>
      </c>
    </row>
    <row r="72" spans="1:12">
      <c r="A72" s="8">
        <f>审定概算汇总表!A75</f>
        <v>23</v>
      </c>
      <c r="B72" s="9" t="str">
        <f>审定概算汇总表!B75</f>
        <v>竣工决算审查费</v>
      </c>
      <c r="C72" s="12"/>
      <c r="D72" s="12"/>
      <c r="E72" s="12"/>
      <c r="F72" s="10">
        <v>0</v>
      </c>
      <c r="G72" s="12"/>
      <c r="H72" s="12"/>
      <c r="I72" s="10">
        <f>审定概算汇总表!G75</f>
        <v>69.13032</v>
      </c>
      <c r="J72" s="10">
        <f t="shared" si="4"/>
        <v>69.13032</v>
      </c>
      <c r="K72" s="18">
        <v>1</v>
      </c>
      <c r="L72" s="12" t="s">
        <v>229</v>
      </c>
    </row>
    <row r="73" spans="1:12">
      <c r="A73" s="4" t="str">
        <f>审定概算汇总表!A76</f>
        <v>三</v>
      </c>
      <c r="B73" s="4" t="str">
        <f>审定概算汇总表!B76</f>
        <v>预备费用</v>
      </c>
      <c r="C73" s="11"/>
      <c r="D73" s="11"/>
      <c r="E73" s="11"/>
      <c r="F73" s="14">
        <v>538.21</v>
      </c>
      <c r="G73" s="11"/>
      <c r="H73" s="11"/>
      <c r="I73" s="14">
        <f>审定概算汇总表!G76</f>
        <v>479.0785</v>
      </c>
      <c r="J73" s="14">
        <f t="shared" si="4"/>
        <v>-59.1315</v>
      </c>
      <c r="K73" s="17">
        <f>J73/F73</f>
        <v>-0.109866966425745</v>
      </c>
      <c r="L73" s="11"/>
    </row>
    <row r="74" spans="1:12">
      <c r="A74" s="4">
        <f>审定概算汇总表!A77</f>
        <v>1</v>
      </c>
      <c r="B74" s="9" t="str">
        <f>审定概算汇总表!B77</f>
        <v>基本预备费5%</v>
      </c>
      <c r="C74" s="12"/>
      <c r="D74" s="12"/>
      <c r="E74" s="12"/>
      <c r="F74" s="10">
        <v>538.21</v>
      </c>
      <c r="G74" s="12"/>
      <c r="H74" s="12"/>
      <c r="I74" s="10">
        <f>审定概算汇总表!G77</f>
        <v>479.0785</v>
      </c>
      <c r="J74" s="10">
        <f t="shared" si="4"/>
        <v>-59.1315</v>
      </c>
      <c r="K74" s="18">
        <f>J74/F74</f>
        <v>-0.109866966425745</v>
      </c>
      <c r="L74" s="12"/>
    </row>
    <row r="75" spans="1:12">
      <c r="A75" s="4" t="str">
        <f>审定概算汇总表!A78</f>
        <v>四</v>
      </c>
      <c r="B75" s="4" t="str">
        <f>审定概算汇总表!B78</f>
        <v>总投资</v>
      </c>
      <c r="C75" s="11"/>
      <c r="D75" s="11"/>
      <c r="E75" s="11"/>
      <c r="F75" s="14">
        <f>F73+F30+F4</f>
        <v>35234.548499</v>
      </c>
      <c r="G75" s="11"/>
      <c r="H75" s="11"/>
      <c r="I75" s="14">
        <f>审定概算汇总表!G78</f>
        <v>34565.15952668</v>
      </c>
      <c r="J75" s="14">
        <f t="shared" si="4"/>
        <v>-669.388972319997</v>
      </c>
      <c r="K75" s="17">
        <f>J75/F75</f>
        <v>-0.0189980857095131</v>
      </c>
      <c r="L75" s="11"/>
    </row>
    <row r="83" spans="6:9">
      <c r="F83" s="20">
        <v>15269.46</v>
      </c>
      <c r="G83">
        <v>3956.98</v>
      </c>
      <c r="H83" s="21">
        <f>F83-G83</f>
        <v>11312.48</v>
      </c>
      <c r="I83" s="21"/>
    </row>
    <row r="84" spans="6:9">
      <c r="F84">
        <f>F75</f>
        <v>35234.548499</v>
      </c>
      <c r="G84" t="e">
        <f>#REF!</f>
        <v>#REF!</v>
      </c>
      <c r="H84" s="21" t="e">
        <f>F84-G84</f>
        <v>#REF!</v>
      </c>
      <c r="I84" s="21" t="e">
        <f>H83-H84</f>
        <v>#REF!</v>
      </c>
    </row>
    <row r="85" spans="7:7">
      <c r="G85" t="e">
        <f>G83-G84</f>
        <v>#REF!</v>
      </c>
    </row>
  </sheetData>
  <mergeCells count="8">
    <mergeCell ref="D2:F2"/>
    <mergeCell ref="G2:I2"/>
    <mergeCell ref="A2:A3"/>
    <mergeCell ref="B2:B3"/>
    <mergeCell ref="C2:C3"/>
    <mergeCell ref="J2:J3"/>
    <mergeCell ref="K2:K3"/>
    <mergeCell ref="L2:L3"/>
  </mergeCells>
  <pageMargins left="0.75" right="0.75" top="1" bottom="1" header="0.5" footer="0.5"/>
  <pageSetup paperSize="9" scale="81" orientation="landscape"/>
  <headerFooter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修改后送审概算汇总表（未更新，不需要）</vt:lpstr>
      <vt:lpstr>审定概算汇总表</vt:lpstr>
      <vt:lpstr>汇总对比表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2017-03-14T12:01:00Z</dcterms:created>
  <cp:lastPrinted>2024-05-22T15:49:00Z</cp:lastPrinted>
  <dcterms:modified xsi:type="dcterms:W3CDTF">2024-10-30T17:34:27Z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A10978765C7F449BA0F5A528F03A5151_13</vt:lpwstr>
  </property>
  <property fmtid="{D5CDD505-2E9C-101B-9397-08002B2CF9AE}" pid="3" name="KSOProductBuildVer">
    <vt:lpwstr>2052-11.8.2.9864</vt:lpwstr>
  </property>
</Properties>
</file>